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· La respuesta" sheetId="1" state="visible" r:id="rId3"/>
    <sheet name="2 · Datos" sheetId="2" state="visible" r:id="rId4"/>
    <sheet name="3 · Flujo por año" sheetId="3" state="visible" r:id="rId5"/>
    <sheet name="4 · Libro vs nosotr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<sst xmlns="http://schemas.openxmlformats.org/spreadsheetml/2006/main" count="161" uniqueCount="115">
  <si>
    <t xml:space="preserve">Villas Huimilpan — ¿el negocio funciona?</t>
  </si>
  <si>
    <t xml:space="preserve">Solo las 10 villas (la fase 1 va abajo, aparte). Cifras en millones de pesos. Verde = pasa la meta; rosa = no pasa.</t>
  </si>
  <si>
    <t xml:space="preserve">Pregunta</t>
  </si>
  <si>
    <t xml:space="preserve">Conservador</t>
  </si>
  <si>
    <t xml:space="preserve">Base</t>
  </si>
  <si>
    <t xml:space="preserve">Éxito</t>
  </si>
  <si>
    <t xml:space="preserve">¿Cuántos m² vendemos?</t>
  </si>
  <si>
    <t xml:space="preserve">¿A cuánto el m²?</t>
  </si>
  <si>
    <t xml:space="preserve">¿Cuánto entra por ventas?</t>
  </si>
  <si>
    <t xml:space="preserve">¿Cuánto cuesta todo (antes de impuestos)?</t>
  </si>
  <si>
    <t xml:space="preserve">¿Cuánto queda antes de impuestos?</t>
  </si>
  <si>
    <t xml:space="preserve">¿Qué % de lo vendido queda? (meta del libro: 20.5%)</t>
  </si>
  <si>
    <t xml:space="preserve">¿Cuánto queda después de impuestos?</t>
  </si>
  <si>
    <t xml:space="preserve">¿Cuánto gana además nuestra constructora?</t>
  </si>
  <si>
    <t xml:space="preserve">¿Cuánto dinero hay que poner como máximo? (pico de capital, Baz)</t>
  </si>
  <si>
    <t xml:space="preserve">TREMA: lo mínimo que debe rendir (curso)</t>
  </si>
  <si>
    <t xml:space="preserve">TIR: lo que rinde el proyecto</t>
  </si>
  <si>
    <t xml:space="preserve">VAN: lo que vale hoy, descontado a la TREMA</t>
  </si>
  <si>
    <t xml:space="preserve">R = ingresos / egresos (debe ser mayor a 1)</t>
  </si>
  <si>
    <t xml:space="preserve">¿El caso pasa?</t>
  </si>
  <si>
    <t xml:space="preserve">FASE 1 · Puerta y huerto (M15): se construye primero y se queda</t>
  </si>
  <si>
    <t xml:space="preserve">Inversión</t>
  </si>
  <si>
    <t xml:space="preserve">Utilidad de operación al año</t>
  </si>
  <si>
    <t xml:space="preserve">Años para recuperar la inversión</t>
  </si>
  <si>
    <t xml:space="preserve">QUÉ TIENE QUE PASAR PARA QUE FUNCIONE</t>
  </si>
  <si>
    <t xml:space="preserve">1. Vender más m²: villas de 2 niveles (~3,000 m² en total, no 2,300).</t>
  </si>
  <si>
    <t xml:space="preserve">2. Construir con nuestra constructora a costo: $22–23 mil por m².</t>
  </si>
  <si>
    <t xml:space="preserve">3. Que la fase 1 (huerto, mesa, tienda, fuego) funcione ANTES de vender: eso es lo que sostiene el precio de $50–55 mil/m².</t>
  </si>
  <si>
    <t xml:space="preserve">4. Validar con 6 depósitos reembolsables antes del 15-dic-2026 (si no, se ajusta o se detiene).</t>
  </si>
  <si>
    <t xml:space="preserve">Detalle completo (depreciación, borgo a 10 años, sensibilidades): Villas_Huimilpan_Corrida_detallada_v3.xlsx</t>
  </si>
  <si>
    <t xml:space="preserve">Datos que se pueden cambiar (azul)</t>
  </si>
  <si>
    <t xml:space="preserve">Cambia solo lo azul. Todo lo demás se recalcula. Cada dato dice de dónde sale.</t>
  </si>
  <si>
    <t xml:space="preserve">Dato</t>
  </si>
  <si>
    <t xml:space="preserve">Qué es / de dónde sale</t>
  </si>
  <si>
    <t xml:space="preserve">Metros que vendemos (m² construidos)</t>
  </si>
  <si>
    <t xml:space="preserve">Programa ajustado: 2 Torre 380 + 4 Casale 320 + 4 Cascina 260</t>
  </si>
  <si>
    <t xml:space="preserve">Precio de venta por m²</t>
  </si>
  <si>
    <t xml:space="preserve">Promedio de 45 comparables (reporte 10), ajustado por caso</t>
  </si>
  <si>
    <t xml:space="preserve">Descuento de preventa (promedio)</t>
  </si>
  <si>
    <t xml:space="preserve">Los primeros compradores pagan menos</t>
  </si>
  <si>
    <t xml:space="preserve">Costo de construir por m² (nuestra constructora, a costo)</t>
  </si>
  <si>
    <t xml:space="preserve">Meta; lo debe confirmar PACSCO/CORDUPSA con presupuesto</t>
  </si>
  <si>
    <t xml:space="preserve">IVA de materiales que no se recupera</t>
  </si>
  <si>
    <t xml:space="preserve">Casa habitación está exenta de IVA; el IVA de insumos se vuelve costo (contador)</t>
  </si>
  <si>
    <t xml:space="preserve">Terreno (villas + calle) a $1,900/m²</t>
  </si>
  <si>
    <t xml:space="preserve">Permuta; la M15 (fase 1) va aparte</t>
  </si>
  <si>
    <t xml:space="preserve">Senderos, redes, humedal, bosque nativo, sauna (zona villas)</t>
  </si>
  <si>
    <t xml:space="preserve">Sin viñedo ni huerto (el huerto va en fase 1). Supuesto a presupuestar</t>
  </si>
  <si>
    <t xml:space="preserve">Trámites, proyecto, comisiones, publicidad y administración</t>
  </si>
  <si>
    <t xml:space="preserve">Libro Finanzas Inmobiliarias (Baz), segmento Premium: 14.5% de las ventas</t>
  </si>
  <si>
    <t xml:space="preserve">Impuesto (ISR)</t>
  </si>
  <si>
    <t xml:space="preserve">Persona moral</t>
  </si>
  <si>
    <t xml:space="preserve">Margen que NO le pagamos a otra constructora</t>
  </si>
  <si>
    <t xml:space="preserve">Indirectos + utilidad de mercado; lo gana el grupo</t>
  </si>
  <si>
    <t xml:space="preserve">Inflación</t>
  </si>
  <si>
    <t xml:space="preserve">INEGI jun-2026</t>
  </si>
  <si>
    <t xml:space="preserve">CETES a 1 año</t>
  </si>
  <si>
    <t xml:space="preserve">Subasta 22-sep-2026</t>
  </si>
  <si>
    <t xml:space="preserve">Premio por riesgo</t>
  </si>
  <si>
    <t xml:space="preserve">Decisión de los socios</t>
  </si>
  <si>
    <t xml:space="preserve">% de villas vendidas en Año 2</t>
  </si>
  <si>
    <t xml:space="preserve">Año 2 = inicio de preventa (con autorización)</t>
  </si>
  <si>
    <t xml:space="preserve">% vendidas en Año 3</t>
  </si>
  <si>
    <t xml:space="preserve">% vendidas en Año 4</t>
  </si>
  <si>
    <t xml:space="preserve">% vendidas en Año 5</t>
  </si>
  <si>
    <t xml:space="preserve">Deben sumar 100%</t>
  </si>
  <si>
    <t xml:space="preserve">Enganche (el resto se paga al entregar)</t>
  </si>
  <si>
    <t xml:space="preserve">Entrega de villas en Año 3</t>
  </si>
  <si>
    <t xml:space="preserve">Fase 1 · inversión (huerto, invernadero, mesa del huerto, tienda, fuego, estacionamiento + terreno M15)</t>
  </si>
  <si>
    <t xml:space="preserve">Sin pádel. Supuesto a presupuestar</t>
  </si>
  <si>
    <t xml:space="preserve">Fase 1 · utilidad de operación al año</t>
  </si>
  <si>
    <t xml:space="preserve">Restaurante 30/45/60 comensales al día + tienda (supuesto)</t>
  </si>
  <si>
    <t xml:space="preserve">TREMA = inflación + CETES + riesgo (método del curso)</t>
  </si>
  <si>
    <t xml:space="preserve">Control: % vendido suma 100%</t>
  </si>
  <si>
    <t xml:space="preserve">Flujo por año (método del curso: ingresos − egresos = balance)</t>
  </si>
  <si>
    <t xml:space="preserve">Año 0 = 2027 (proyecto y permisos) · Año 1 fase 1 y urbanización · Años 2–3 construcción de villas · entrega en Año 3.</t>
  </si>
  <si>
    <t xml:space="preserve">CASO CONSERVADOR</t>
  </si>
  <si>
    <t xml:space="preserve">Concepto</t>
  </si>
  <si>
    <t xml:space="preserve">Año 0</t>
  </si>
  <si>
    <t xml:space="preserve">Año 1</t>
  </si>
  <si>
    <t xml:space="preserve">Año 2</t>
  </si>
  <si>
    <t xml:space="preserve">Año 3</t>
  </si>
  <si>
    <t xml:space="preserve">Año 4</t>
  </si>
  <si>
    <t xml:space="preserve">Año 5</t>
  </si>
  <si>
    <t xml:space="preserve">Total</t>
  </si>
  <si>
    <t xml:space="preserve">Ventas firmadas en el año</t>
  </si>
  <si>
    <t xml:space="preserve">(+) Cobros</t>
  </si>
  <si>
    <t xml:space="preserve">(−) Terreno (permuta)</t>
  </si>
  <si>
    <t xml:space="preserve">(−) Proyecto, permisos y legales (6% de ventas)</t>
  </si>
  <si>
    <t xml:space="preserve">(−) Senderos, redes, humedal, bosque</t>
  </si>
  <si>
    <t xml:space="preserve">(−) Construcción de villas</t>
  </si>
  <si>
    <t xml:space="preserve">(−) Dirección de obra (2%)</t>
  </si>
  <si>
    <t xml:space="preserve">(−) Comisiones y publicidad (4.5%)</t>
  </si>
  <si>
    <t xml:space="preserve">(−) Administración y posventa (2%)</t>
  </si>
  <si>
    <t xml:space="preserve">(−) ISR (al final)</t>
  </si>
  <si>
    <t xml:space="preserve">BALANCE DEL AÑO</t>
  </si>
  <si>
    <t xml:space="preserve">BALANCE ACUMULADO</t>
  </si>
  <si>
    <t xml:space="preserve">CASO BASE</t>
  </si>
  <si>
    <t xml:space="preserve">CASO ÉXITO</t>
  </si>
  <si>
    <t xml:space="preserve">Cifras en millones de pesos. Fórmulas: TIR = TIR(balance del año); VAN = balance Año 0 + VNA(TREMA, Años 1–5); R = cobros / egresos.</t>
  </si>
  <si>
    <t xml:space="preserve">¿Cómo nos comparamos con el libro? (segmento Premium, % de las ventas)</t>
  </si>
  <si>
    <t xml:space="preserve">Libro: Finanzas Inmobiliarias, Alberto Baz García de León (atribución de la tabla por confirmar con el ejemplar).</t>
  </si>
  <si>
    <t xml:space="preserve">Rubro</t>
  </si>
  <si>
    <t xml:space="preserve">Libro</t>
  </si>
  <si>
    <t xml:space="preserve">Lectura</t>
  </si>
  <si>
    <t xml:space="preserve">Terreno</t>
  </si>
  <si>
    <t xml:space="preserve">El terreno pesa más que en el libro: hay que vender más m² o más caro</t>
  </si>
  <si>
    <t xml:space="preserve">Edificación</t>
  </si>
  <si>
    <t xml:space="preserve">Con obra a costo nos acercamos al 50%</t>
  </si>
  <si>
    <t xml:space="preserve">Urbanización y amenidades</t>
  </si>
  <si>
    <t xml:space="preserve">El libro supone lote ya urbanizado; aquí las amenidades son el producto</t>
  </si>
  <si>
    <t xml:space="preserve">Trámites, venta y administración</t>
  </si>
  <si>
    <t xml:space="preserve">Igual al libro</t>
  </si>
  <si>
    <t xml:space="preserve">Utilidad antes de impuestos</t>
  </si>
  <si>
    <t xml:space="preserve">La meta del libro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</si>
</sst>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\$#,##0;&quot;($&quot;#,##0\);\-"/>
    <numFmt numFmtId="167" formatCode="\$#,##0.0,,\M;&quot;($&quot;#,##0.0,,&quot;M)&quot;;\-"/>
    <numFmt numFmtId="168" formatCode="0.0%;\(0.0%\);\-"/>
    <numFmt numFmtId="169" formatCode="0.00"/>
    <numFmt numFmtId="170" formatCode="@"/>
    <numFmt numFmtId="171" formatCode="0.0&quot; años&quot;"/>
    <numFmt numFmtId="172" formatCode="#,##0;\(#,##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5666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56663A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6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2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DE3CF"/>
        </patternFill>
      </fill>
    </dxf>
    <dxf>
      <fill>
        <patternFill>
          <bgColor rgb="FFF0DD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6663A"/>
      <rgbColor rgb="FF800080"/>
      <rgbColor rgb="FF008080"/>
      <rgbColor rgb="FFD9D6CC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3CF"/>
      <rgbColor rgb="FFFFFF99"/>
      <rgbColor rgb="FF99CCFF"/>
      <rgbColor rgb="FFFF99CC"/>
      <rgbColor rgb="FFCC99FF"/>
      <rgbColor rgb="FFF0DDE0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 que queda después de impuestos (M)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 · La respuesta'!$C$4:$E$4</c:f>
              <c:strCache>
                <c:ptCount val="3"/>
                <c:pt idx="0">
                  <c:v>Conservador</c:v>
                </c:pt>
                <c:pt idx="1">
                  <c:v>Base</c:v>
                </c:pt>
                <c:pt idx="2">
                  <c:v>Éxito</c:v>
                </c:pt>
              </c:strCache>
            </c:strRef>
          </c:cat>
          <c:val>
            <c:numRef>
              <c:f>'1 · La respuesta'!$C$11:$E$11</c:f>
              <c:numCache>
                <c:formatCode>\$#,##0.0,,\M;"($"#,##0.0,,"M)";\-</c:formatCode>
                <c:ptCount val="3"/>
                <c:pt idx="0">
                  <c:v>-28786240.6176</c:v>
                </c:pt>
                <c:pt idx="1">
                  <c:v>2733465.22400001</c:v>
                </c:pt>
                <c:pt idx="2">
                  <c:v>24868243.841</c:v>
                </c:pt>
              </c:numCache>
            </c:numRef>
          </c:val>
        </c:ser>
        <c:gapWidth val="150"/>
        <c:overlap val="0"/>
        <c:axId val="8989272"/>
        <c:axId val="19665160"/>
      </c:barChart>
      <c:catAx>
        <c:axId val="8989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665160"/>
        <c:crosses val="autoZero"/>
        <c:auto val="1"/>
        <c:lblAlgn val="ctr"/>
        <c:lblOffset val="100"/>
        <c:noMultiLvlLbl val="0"/>
      </c:catAx>
      <c:valAx>
        <c:axId val="1966516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,,\M;&quot;($&quot;#,##0.0,,&quot;M)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8927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131040</xdr:rowOff>
    </xdr:from>
    <xdr:to>
      <xdr:col>13</xdr:col>
      <xdr:colOff>39240</xdr:colOff>
      <xdr:row>14</xdr:row>
      <xdr:rowOff>4680</xdr:rowOff>
    </xdr:to>
    <xdr:graphicFrame>
      <xdr:nvGraphicFramePr>
        <xdr:cNvPr id="0" name="Chart 1"/>
        <xdr:cNvGraphicFramePr/>
      </xdr:nvGraphicFramePr>
      <xdr:xfrm>
        <a:off x="8458200" y="571680"/>
        <a:ext cx="431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8"/>
    <col collapsed="false" customWidth="true" hidden="false" outlineLevel="0" max="5" min="3" style="0" width="18"/>
    <col collapsed="false" customWidth="true" hidden="false" outlineLevel="0" max="6" min="6" style="0" width="4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A4" s="3"/>
      <c r="B4" s="3" t="s">
        <v>2</v>
      </c>
      <c r="C4" s="3" t="s">
        <v>3</v>
      </c>
      <c r="D4" s="3" t="s">
        <v>4</v>
      </c>
      <c r="E4" s="3" t="s">
        <v>5</v>
      </c>
    </row>
    <row r="5" customFormat="false" ht="15" hidden="false" customHeight="false" outlineLevel="0" collapsed="false">
      <c r="B5" s="4" t="s">
        <v>6</v>
      </c>
      <c r="C5" s="5" t="n">
        <f aca="false">'2 · Datos'!C5</f>
        <v>3080</v>
      </c>
      <c r="D5" s="5" t="n">
        <f aca="false">'2 · Datos'!D5</f>
        <v>3080</v>
      </c>
      <c r="E5" s="5" t="n">
        <f aca="false">'2 · Datos'!E5</f>
        <v>3080</v>
      </c>
    </row>
    <row r="6" customFormat="false" ht="15" hidden="false" customHeight="false" outlineLevel="0" collapsed="false">
      <c r="B6" s="4" t="s">
        <v>7</v>
      </c>
      <c r="C6" s="6" t="n">
        <f aca="false">'2 · Datos'!C6</f>
        <v>36636</v>
      </c>
      <c r="D6" s="6" t="n">
        <f aca="false">'2 · Datos'!D6</f>
        <v>45305</v>
      </c>
      <c r="E6" s="6" t="n">
        <f aca="false">'2 · Datos'!E6</f>
        <v>55182</v>
      </c>
    </row>
    <row r="7" customFormat="false" ht="15" hidden="false" customHeight="false" outlineLevel="0" collapsed="false">
      <c r="B7" s="4" t="s">
        <v>8</v>
      </c>
      <c r="C7" s="7" t="n">
        <f aca="false">'3 · Flujo por año'!$I$7</f>
        <v>110130746.88</v>
      </c>
      <c r="D7" s="7" t="n">
        <f aca="false">'3 · Flujo por año'!$I$23</f>
        <v>133957824</v>
      </c>
      <c r="E7" s="7" t="n">
        <f aca="false">'3 · Flujo por año'!$I$39</f>
        <v>165711546</v>
      </c>
    </row>
    <row r="8" customFormat="false" ht="15" hidden="false" customHeight="false" outlineLevel="0" collapsed="false">
      <c r="B8" s="4" t="s">
        <v>9</v>
      </c>
      <c r="C8" s="7" t="n">
        <f aca="false">SUM('3 · Flujo por año'!$I$8:$I$14)</f>
        <v>138916987.4976</v>
      </c>
      <c r="D8" s="7" t="n">
        <f aca="false">SUM('3 · Flujo por año'!$I$24:$I$30)</f>
        <v>130052873.68</v>
      </c>
      <c r="E8" s="7" t="n">
        <f aca="false">SUM('3 · Flujo por año'!$I$40:$I$46)</f>
        <v>130185483.37</v>
      </c>
    </row>
    <row r="9" customFormat="false" ht="15" hidden="false" customHeight="false" outlineLevel="0" collapsed="false">
      <c r="B9" s="8" t="s">
        <v>10</v>
      </c>
      <c r="C9" s="9" t="n">
        <f aca="false">C7-C8</f>
        <v>-28786240.6176</v>
      </c>
      <c r="D9" s="9" t="n">
        <f aca="false">D7-D8</f>
        <v>3904950.31999998</v>
      </c>
      <c r="E9" s="9" t="n">
        <f aca="false">E7-E8</f>
        <v>35526062.63</v>
      </c>
    </row>
    <row r="10" customFormat="false" ht="15" hidden="false" customHeight="false" outlineLevel="0" collapsed="false">
      <c r="B10" s="8" t="s">
        <v>11</v>
      </c>
      <c r="C10" s="10" t="n">
        <f aca="false">IFERROR(C9/C7,0)</f>
        <v>-0.261382415293759</v>
      </c>
      <c r="D10" s="10" t="n">
        <f aca="false">IFERROR(D9/D7,0)</f>
        <v>0.0291505953396196</v>
      </c>
      <c r="E10" s="10" t="n">
        <f aca="false">IFERROR(E9/E7,0)</f>
        <v>0.214384956797156</v>
      </c>
    </row>
    <row r="11" customFormat="false" ht="15" hidden="false" customHeight="false" outlineLevel="0" collapsed="false">
      <c r="B11" s="8" t="s">
        <v>12</v>
      </c>
      <c r="C11" s="9" t="n">
        <f aca="false">SUM('3 · Flujo por año'!$C$16:$H$16)</f>
        <v>-28786240.6176</v>
      </c>
      <c r="D11" s="9" t="n">
        <f aca="false">SUM('3 · Flujo por año'!$C$32:$H$32)</f>
        <v>2733465.22400001</v>
      </c>
      <c r="E11" s="9" t="n">
        <f aca="false">SUM('3 · Flujo por año'!$C$48:$H$48)</f>
        <v>24868243.841</v>
      </c>
    </row>
    <row r="12" customFormat="false" ht="15" hidden="false" customHeight="false" outlineLevel="0" collapsed="false">
      <c r="B12" s="4" t="s">
        <v>13</v>
      </c>
      <c r="C12" s="7" t="n">
        <f aca="false">('2 · Datos'!C5*'2 · Datos'!C8+'2 · Datos'!C11)*'2 · Datos'!C14</f>
        <v>16574400</v>
      </c>
      <c r="D12" s="7" t="n">
        <f aca="false">('2 · Datos'!D5*'2 · Datos'!D8+'2 · Datos'!D11)*'2 · Datos'!D14</f>
        <v>14551200</v>
      </c>
      <c r="E12" s="7" t="n">
        <f aca="false">('2 · Datos'!E5*'2 · Datos'!E8+'2 · Datos'!E11)*'2 · Datos'!E14</f>
        <v>13816800</v>
      </c>
    </row>
    <row r="13" customFormat="false" ht="15" hidden="false" customHeight="false" outlineLevel="0" collapsed="false">
      <c r="B13" s="4" t="s">
        <v>14</v>
      </c>
      <c r="C13" s="7" t="n">
        <f aca="false">-MIN('3 · Flujo por año'!$C$17:$H$17)</f>
        <v>82257980.85952</v>
      </c>
      <c r="D13" s="7" t="n">
        <f aca="false">-MIN('3 · Flujo por año'!$C$33:$H$33)</f>
        <v>68861597.072</v>
      </c>
      <c r="E13" s="7" t="n">
        <f aca="false">-MIN('3 · Flujo por año'!$C$49:$H$49)</f>
        <v>61153530.765</v>
      </c>
    </row>
    <row r="14" customFormat="false" ht="15" hidden="false" customHeight="false" outlineLevel="0" collapsed="false">
      <c r="B14" s="4" t="s">
        <v>15</v>
      </c>
      <c r="C14" s="11" t="n">
        <f aca="false">'2 · Datos'!C26</f>
        <v>0.1979</v>
      </c>
      <c r="D14" s="11" t="n">
        <f aca="false">'2 · Datos'!D26</f>
        <v>0.1779</v>
      </c>
      <c r="E14" s="11" t="n">
        <f aca="false">'2 · Datos'!E26</f>
        <v>0.1679</v>
      </c>
    </row>
    <row r="15" customFormat="false" ht="15" hidden="false" customHeight="false" outlineLevel="0" collapsed="false">
      <c r="B15" s="4" t="s">
        <v>16</v>
      </c>
      <c r="C15" s="11" t="n">
        <f aca="false">IFERROR(IRR('3 · Flujo por año'!$C$16:$H$16),-1)</f>
        <v>-0.126270612997229</v>
      </c>
      <c r="D15" s="11" t="n">
        <f aca="false">IFERROR(IRR('3 · Flujo por año'!$C$32:$H$32),-1)</f>
        <v>0.0166084779805926</v>
      </c>
      <c r="E15" s="11" t="n">
        <f aca="false">IFERROR(IRR('3 · Flujo por año'!$C$48:$H$48),-1)</f>
        <v>0.178980060383528</v>
      </c>
    </row>
    <row r="16" customFormat="false" ht="15" hidden="false" customHeight="false" outlineLevel="0" collapsed="false">
      <c r="B16" s="4" t="s">
        <v>17</v>
      </c>
      <c r="C16" s="7" t="n">
        <f aca="false">'3 · Flujo por año'!$C$16+NPV(C14,'3 · Flujo por año'!$D$16:$H$16)</f>
        <v>-43514393.5199951</v>
      </c>
      <c r="D16" s="7" t="n">
        <f aca="false">'3 · Flujo por año'!$C$32+NPV(D14,'3 · Flujo por año'!$D$32:$H$32)</f>
        <v>-17853372.3289382</v>
      </c>
      <c r="E16" s="7" t="n">
        <f aca="false">'3 · Flujo por año'!$C$48+NPV(E14,'3 · Flujo por año'!$D$48:$H$48)</f>
        <v>1131884.73702238</v>
      </c>
    </row>
    <row r="17" customFormat="false" ht="15" hidden="false" customHeight="false" outlineLevel="0" collapsed="false">
      <c r="B17" s="4" t="s">
        <v>18</v>
      </c>
      <c r="C17" s="12" t="n">
        <f aca="false">IFERROR(C7/(C8+SUM('3 · Flujo por año'!$C$15:$H$15)),0)</f>
        <v>0.792780990027607</v>
      </c>
      <c r="D17" s="12" t="n">
        <f aca="false">IFERROR(D7/(D8+SUM('3 · Flujo por año'!$C$31:$H$31)),0)</f>
        <v>1.02083047118307</v>
      </c>
      <c r="E17" s="12" t="n">
        <f aca="false">IFERROR(E7/(E8+SUM('3 · Flujo por año'!$C$47:$H$47)),0)</f>
        <v>1.17656674800855</v>
      </c>
    </row>
    <row r="18" customFormat="false" ht="15" hidden="false" customHeight="false" outlineLevel="0" collapsed="false">
      <c r="B18" s="8" t="s">
        <v>19</v>
      </c>
      <c r="C18" s="13" t="str">
        <f aca="false">IF(AND(C10&gt;=0.205,C15&gt;=C14),"SÍ PASA",IF(C9&gt;0,"GANA, PERO NO LLEGA A LA META","PIERDE"))</f>
        <v>PIERDE</v>
      </c>
      <c r="D18" s="13" t="str">
        <f aca="false">IF(AND(D10&gt;=0.205,D15&gt;=D14),"SÍ PASA",IF(D9&gt;0,"GANA, PERO NO LLEGA A LA META","PIERDE"))</f>
        <v>GANA, PERO NO LLEGA A LA META</v>
      </c>
      <c r="E18" s="13" t="str">
        <f aca="false">IF(AND(E10&gt;=0.205,E15&gt;=E14),"SÍ PASA",IF(E9&gt;0,"GANA, PERO NO LLEGA A LA META","PIERDE"))</f>
        <v>SÍ PASA</v>
      </c>
    </row>
    <row r="20" customFormat="false" ht="15" hidden="false" customHeight="false" outlineLevel="0" collapsed="false">
      <c r="B20" s="14" t="s">
        <v>20</v>
      </c>
    </row>
    <row r="21" customFormat="false" ht="15" hidden="false" customHeight="false" outlineLevel="0" collapsed="false">
      <c r="B21" s="0" t="s">
        <v>21</v>
      </c>
      <c r="C21" s="15" t="n">
        <f aca="false">'2 · Datos'!C23</f>
        <v>25200000</v>
      </c>
      <c r="D21" s="15" t="n">
        <f aca="false">'2 · Datos'!D23</f>
        <v>23700000</v>
      </c>
      <c r="E21" s="15" t="n">
        <f aca="false">'2 · Datos'!E23</f>
        <v>23700000</v>
      </c>
    </row>
    <row r="22" customFormat="false" ht="15" hidden="false" customHeight="false" outlineLevel="0" collapsed="false">
      <c r="B22" s="0" t="s">
        <v>22</v>
      </c>
      <c r="C22" s="15" t="n">
        <f aca="false">'2 · Datos'!C24</f>
        <v>950000</v>
      </c>
      <c r="D22" s="15" t="n">
        <f aca="false">'2 · Datos'!D24</f>
        <v>2770000</v>
      </c>
      <c r="E22" s="15" t="n">
        <f aca="false">'2 · Datos'!E24</f>
        <v>5290000</v>
      </c>
    </row>
    <row r="23" customFormat="false" ht="15" hidden="false" customHeight="false" outlineLevel="0" collapsed="false">
      <c r="B23" s="0" t="s">
        <v>23</v>
      </c>
      <c r="C23" s="16" t="n">
        <f aca="false">IFERROR(C21/C22,0)</f>
        <v>26.5263157894737</v>
      </c>
      <c r="D23" s="16" t="n">
        <f aca="false">IFERROR(D21/D22,0)</f>
        <v>8.55595667870036</v>
      </c>
      <c r="E23" s="16" t="n">
        <f aca="false">IFERROR(E21/E22,0)</f>
        <v>4.48015122873346</v>
      </c>
    </row>
    <row r="25" customFormat="false" ht="15" hidden="false" customHeight="false" outlineLevel="0" collapsed="false">
      <c r="B25" s="14" t="s">
        <v>24</v>
      </c>
    </row>
    <row r="26" customFormat="false" ht="30" hidden="false" customHeight="true" outlineLevel="0" collapsed="false">
      <c r="B26" s="17" t="s">
        <v>25</v>
      </c>
      <c r="C26" s="17"/>
      <c r="D26" s="17"/>
      <c r="E26" s="17"/>
    </row>
    <row r="27" customFormat="false" ht="30" hidden="false" customHeight="true" outlineLevel="0" collapsed="false">
      <c r="B27" s="17" t="s">
        <v>26</v>
      </c>
      <c r="C27" s="17"/>
      <c r="D27" s="17"/>
      <c r="E27" s="17"/>
    </row>
    <row r="28" customFormat="false" ht="30" hidden="false" customHeight="true" outlineLevel="0" collapsed="false">
      <c r="B28" s="17" t="s">
        <v>27</v>
      </c>
      <c r="C28" s="17"/>
      <c r="D28" s="17"/>
      <c r="E28" s="17"/>
    </row>
    <row r="29" customFormat="false" ht="30" hidden="false" customHeight="true" outlineLevel="0" collapsed="false">
      <c r="B29" s="17" t="s">
        <v>28</v>
      </c>
      <c r="C29" s="17"/>
      <c r="D29" s="17"/>
      <c r="E29" s="17"/>
    </row>
    <row r="31" customFormat="false" ht="15" hidden="false" customHeight="false" outlineLevel="0" collapsed="false">
      <c r="B31" s="2" t="s">
        <v>29</v>
      </c>
    </row>
  </sheetData>
  <mergeCells count="4">
    <mergeCell ref="B26:E26"/>
    <mergeCell ref="B27:E27"/>
    <mergeCell ref="B28:E28"/>
    <mergeCell ref="B29:E29"/>
  </mergeCells>
  <conditionalFormatting sqref="C10:E10">
    <cfRule type="cellIs" priority="2" operator="greaterThanOrEqual" aboveAverage="0" equalAverage="0" bottom="0" percent="0" rank="0" text="" dxfId="0">
      <formula>0.205</formula>
    </cfRule>
    <cfRule type="cellIs" priority="3" operator="lessThan" aboveAverage="0" equalAverage="0" bottom="0" percent="0" rank="0" text="" dxfId="1">
      <formula>0.205</formula>
    </cfRule>
  </conditionalFormatting>
  <conditionalFormatting sqref="C18:E18">
    <cfRule type="expression" priority="4" aboveAverage="0" equalAverage="0" bottom="0" percent="0" rank="0" text="" dxfId="0">
      <formula>C18="SÍ PASA"</formula>
    </cfRule>
    <cfRule type="expression" priority="5" aboveAverage="0" equalAverage="0" bottom="0" percent="0" rank="0" text="" dxfId="1">
      <formula>C18&lt;&gt;"SÍ PASA"</formula>
    </cfRule>
  </conditionalFormatting>
  <conditionalFormatting sqref="C15:E15">
    <cfRule type="expression" priority="6" aboveAverage="0" equalAverage="0" bottom="0" percent="0" rank="0" text="" dxfId="0">
      <formula>C15&gt;=C14</formula>
    </cfRule>
    <cfRule type="expression" priority="7" aboveAverage="0" equalAverage="0" bottom="0" percent="0" rank="0" text="" dxfId="1">
      <formula>C15&lt;C14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2"/>
    <col collapsed="false" customWidth="true" hidden="false" outlineLevel="0" max="5" min="3" style="0" width="16"/>
    <col collapsed="false" customWidth="true" hidden="false" outlineLevel="0" max="6" min="6" style="0" width="60"/>
  </cols>
  <sheetData>
    <row r="1" customFormat="false" ht="19.7" hidden="false" customHeight="false" outlineLevel="0" collapsed="false">
      <c r="B1" s="1" t="s">
        <v>30</v>
      </c>
    </row>
    <row r="2" customFormat="false" ht="15" hidden="false" customHeight="false" outlineLevel="0" collapsed="false">
      <c r="B2" s="2" t="s">
        <v>31</v>
      </c>
    </row>
    <row r="4" customFormat="false" ht="15" hidden="false" customHeight="false" outlineLevel="0" collapsed="false">
      <c r="A4" s="3"/>
      <c r="B4" s="3" t="s">
        <v>32</v>
      </c>
      <c r="C4" s="3" t="s">
        <v>3</v>
      </c>
      <c r="D4" s="3" t="s">
        <v>4</v>
      </c>
      <c r="E4" s="3" t="s">
        <v>5</v>
      </c>
      <c r="F4" s="3" t="s">
        <v>33</v>
      </c>
    </row>
    <row r="5" customFormat="false" ht="15" hidden="false" customHeight="false" outlineLevel="0" collapsed="false">
      <c r="B5" s="18" t="s">
        <v>34</v>
      </c>
      <c r="C5" s="19" t="n">
        <v>3080</v>
      </c>
      <c r="D5" s="19" t="n">
        <v>3080</v>
      </c>
      <c r="E5" s="19" t="n">
        <v>3080</v>
      </c>
      <c r="F5" s="20" t="s">
        <v>35</v>
      </c>
    </row>
    <row r="6" customFormat="false" ht="15" hidden="false" customHeight="false" outlineLevel="0" collapsed="false">
      <c r="B6" s="18" t="s">
        <v>36</v>
      </c>
      <c r="C6" s="21" t="n">
        <v>36636</v>
      </c>
      <c r="D6" s="21" t="n">
        <v>45305</v>
      </c>
      <c r="E6" s="21" t="n">
        <v>55182</v>
      </c>
      <c r="F6" s="20" t="s">
        <v>37</v>
      </c>
    </row>
    <row r="7" customFormat="false" ht="15" hidden="false" customHeight="false" outlineLevel="0" collapsed="false">
      <c r="B7" s="18" t="s">
        <v>38</v>
      </c>
      <c r="C7" s="22" t="n">
        <v>0.024</v>
      </c>
      <c r="D7" s="22" t="n">
        <v>0.04</v>
      </c>
      <c r="E7" s="22" t="n">
        <v>0.025</v>
      </c>
      <c r="F7" s="20" t="s">
        <v>39</v>
      </c>
    </row>
    <row r="8" customFormat="false" ht="15" hidden="false" customHeight="false" outlineLevel="0" collapsed="false">
      <c r="B8" s="18" t="s">
        <v>40</v>
      </c>
      <c r="C8" s="21" t="n">
        <v>26000</v>
      </c>
      <c r="D8" s="21" t="n">
        <v>23000</v>
      </c>
      <c r="E8" s="21" t="n">
        <v>22000</v>
      </c>
      <c r="F8" s="20" t="s">
        <v>41</v>
      </c>
    </row>
    <row r="9" customFormat="false" ht="23.85" hidden="false" customHeight="false" outlineLevel="0" collapsed="false">
      <c r="B9" s="18" t="s">
        <v>42</v>
      </c>
      <c r="C9" s="22" t="n">
        <v>0.096</v>
      </c>
      <c r="D9" s="22" t="n">
        <v>0.096</v>
      </c>
      <c r="E9" s="22" t="n">
        <v>0.096</v>
      </c>
      <c r="F9" s="20" t="s">
        <v>43</v>
      </c>
    </row>
    <row r="10" customFormat="false" ht="15" hidden="false" customHeight="false" outlineLevel="0" collapsed="false">
      <c r="B10" s="18" t="s">
        <v>44</v>
      </c>
      <c r="C10" s="23" t="n">
        <f aca="false">(13966.95-2373.082)*1900</f>
        <v>22028349.2</v>
      </c>
      <c r="D10" s="23" t="n">
        <f aca="false">(13966.95-2373.082)*1900</f>
        <v>22028349.2</v>
      </c>
      <c r="E10" s="23" t="n">
        <f aca="false">(13966.95-2373.082)*1900</f>
        <v>22028349.2</v>
      </c>
      <c r="F10" s="20" t="s">
        <v>45</v>
      </c>
    </row>
    <row r="11" customFormat="false" ht="28.35" hidden="false" customHeight="false" outlineLevel="0" collapsed="false">
      <c r="B11" s="18" t="s">
        <v>46</v>
      </c>
      <c r="C11" s="21" t="n">
        <v>12000000</v>
      </c>
      <c r="D11" s="21" t="n">
        <v>10000000</v>
      </c>
      <c r="E11" s="21" t="n">
        <v>9000000</v>
      </c>
      <c r="F11" s="20" t="s">
        <v>47</v>
      </c>
    </row>
    <row r="12" customFormat="false" ht="23.85" hidden="false" customHeight="false" outlineLevel="0" collapsed="false">
      <c r="B12" s="18" t="s">
        <v>48</v>
      </c>
      <c r="C12" s="22" t="n">
        <v>0.145</v>
      </c>
      <c r="D12" s="22" t="n">
        <v>0.145</v>
      </c>
      <c r="E12" s="22" t="n">
        <v>0.145</v>
      </c>
      <c r="F12" s="20" t="s">
        <v>49</v>
      </c>
    </row>
    <row r="13" customFormat="false" ht="15" hidden="false" customHeight="false" outlineLevel="0" collapsed="false">
      <c r="B13" s="18" t="s">
        <v>50</v>
      </c>
      <c r="C13" s="22" t="n">
        <v>0.3</v>
      </c>
      <c r="D13" s="22" t="n">
        <v>0.3</v>
      </c>
      <c r="E13" s="22" t="n">
        <v>0.3</v>
      </c>
      <c r="F13" s="20" t="s">
        <v>51</v>
      </c>
    </row>
    <row r="14" customFormat="false" ht="15" hidden="false" customHeight="false" outlineLevel="0" collapsed="false">
      <c r="B14" s="18" t="s">
        <v>52</v>
      </c>
      <c r="C14" s="22" t="n">
        <v>0.18</v>
      </c>
      <c r="D14" s="22" t="n">
        <v>0.18</v>
      </c>
      <c r="E14" s="22" t="n">
        <v>0.18</v>
      </c>
      <c r="F14" s="20" t="s">
        <v>53</v>
      </c>
    </row>
    <row r="15" customFormat="false" ht="15" hidden="false" customHeight="false" outlineLevel="0" collapsed="false">
      <c r="B15" s="18" t="s">
        <v>54</v>
      </c>
      <c r="C15" s="22" t="n">
        <v>0.0355</v>
      </c>
      <c r="D15" s="22" t="n">
        <v>0.0355</v>
      </c>
      <c r="E15" s="22" t="n">
        <v>0.0355</v>
      </c>
      <c r="F15" s="20" t="s">
        <v>55</v>
      </c>
    </row>
    <row r="16" customFormat="false" ht="15" hidden="false" customHeight="false" outlineLevel="0" collapsed="false">
      <c r="B16" s="18" t="s">
        <v>56</v>
      </c>
      <c r="C16" s="22" t="n">
        <v>0.0724</v>
      </c>
      <c r="D16" s="22" t="n">
        <v>0.0724</v>
      </c>
      <c r="E16" s="22" t="n">
        <v>0.0724</v>
      </c>
      <c r="F16" s="20" t="s">
        <v>57</v>
      </c>
    </row>
    <row r="17" customFormat="false" ht="15" hidden="false" customHeight="false" outlineLevel="0" collapsed="false">
      <c r="B17" s="18" t="s">
        <v>58</v>
      </c>
      <c r="C17" s="22" t="n">
        <v>0.09</v>
      </c>
      <c r="D17" s="22" t="n">
        <v>0.07</v>
      </c>
      <c r="E17" s="22" t="n">
        <v>0.06</v>
      </c>
      <c r="F17" s="20" t="s">
        <v>59</v>
      </c>
    </row>
    <row r="18" customFormat="false" ht="15" hidden="false" customHeight="false" outlineLevel="0" collapsed="false">
      <c r="B18" s="18" t="s">
        <v>60</v>
      </c>
      <c r="C18" s="22" t="n">
        <v>0.2</v>
      </c>
      <c r="D18" s="22" t="n">
        <v>0.4</v>
      </c>
      <c r="E18" s="22" t="n">
        <v>0.5</v>
      </c>
      <c r="F18" s="20" t="s">
        <v>61</v>
      </c>
    </row>
    <row r="19" customFormat="false" ht="15" hidden="false" customHeight="false" outlineLevel="0" collapsed="false">
      <c r="B19" s="18" t="s">
        <v>62</v>
      </c>
      <c r="C19" s="22" t="n">
        <v>0.3</v>
      </c>
      <c r="D19" s="22" t="n">
        <v>0.4</v>
      </c>
      <c r="E19" s="22" t="n">
        <v>0.5</v>
      </c>
      <c r="F19" s="20"/>
    </row>
    <row r="20" customFormat="false" ht="15" hidden="false" customHeight="false" outlineLevel="0" collapsed="false">
      <c r="B20" s="18" t="s">
        <v>63</v>
      </c>
      <c r="C20" s="22" t="n">
        <v>0.3</v>
      </c>
      <c r="D20" s="22" t="n">
        <v>0.2</v>
      </c>
      <c r="E20" s="22" t="n">
        <v>0</v>
      </c>
      <c r="F20" s="20"/>
    </row>
    <row r="21" customFormat="false" ht="15" hidden="false" customHeight="false" outlineLevel="0" collapsed="false">
      <c r="B21" s="18" t="s">
        <v>64</v>
      </c>
      <c r="C21" s="22" t="n">
        <v>0.2</v>
      </c>
      <c r="D21" s="22" t="n">
        <v>0</v>
      </c>
      <c r="E21" s="22" t="n">
        <v>0</v>
      </c>
      <c r="F21" s="20" t="s">
        <v>65</v>
      </c>
    </row>
    <row r="22" customFormat="false" ht="15" hidden="false" customHeight="false" outlineLevel="0" collapsed="false">
      <c r="B22" s="18" t="s">
        <v>66</v>
      </c>
      <c r="C22" s="22" t="n">
        <v>0.3</v>
      </c>
      <c r="D22" s="22" t="n">
        <v>0.3</v>
      </c>
      <c r="E22" s="22" t="n">
        <v>0.3</v>
      </c>
      <c r="F22" s="20" t="s">
        <v>67</v>
      </c>
    </row>
    <row r="23" customFormat="false" ht="28.35" hidden="false" customHeight="false" outlineLevel="0" collapsed="false">
      <c r="B23" s="18" t="s">
        <v>68</v>
      </c>
      <c r="C23" s="21" t="n">
        <v>25200000</v>
      </c>
      <c r="D23" s="21" t="n">
        <v>23700000</v>
      </c>
      <c r="E23" s="21" t="n">
        <v>23700000</v>
      </c>
      <c r="F23" s="20" t="s">
        <v>69</v>
      </c>
    </row>
    <row r="24" customFormat="false" ht="15" hidden="false" customHeight="false" outlineLevel="0" collapsed="false">
      <c r="B24" s="18" t="s">
        <v>70</v>
      </c>
      <c r="C24" s="21" t="n">
        <v>950000</v>
      </c>
      <c r="D24" s="21" t="n">
        <v>2770000</v>
      </c>
      <c r="E24" s="21" t="n">
        <v>5290000</v>
      </c>
      <c r="F24" s="20" t="s">
        <v>71</v>
      </c>
    </row>
    <row r="26" customFormat="false" ht="15" hidden="false" customHeight="false" outlineLevel="0" collapsed="false">
      <c r="B26" s="24" t="s">
        <v>72</v>
      </c>
      <c r="C26" s="25" t="n">
        <f aca="false">C15+C16+C17</f>
        <v>0.1979</v>
      </c>
      <c r="D26" s="25" t="n">
        <f aca="false">D15+D16+D17</f>
        <v>0.1779</v>
      </c>
      <c r="E26" s="25" t="n">
        <f aca="false">E15+E16+E17</f>
        <v>0.1679</v>
      </c>
    </row>
    <row r="27" customFormat="false" ht="15" hidden="false" customHeight="false" outlineLevel="0" collapsed="false">
      <c r="B27" s="0" t="s">
        <v>73</v>
      </c>
      <c r="C27" s="0" t="str">
        <f aca="false">IF(ABS(C18+C19+C20+C21-1)&lt;0.001,"OK","REVISAR")</f>
        <v>OK</v>
      </c>
      <c r="D27" s="0" t="str">
        <f aca="false">IF(ABS(D18+D19+D20+D21-1)&lt;0.001,"OK","REVISAR")</f>
        <v>OK</v>
      </c>
      <c r="E27" s="0" t="str">
        <f aca="false">IF(ABS(E18+E19+E20+E21-1)&lt;0.001,"OK","REVISAR")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4"/>
    <col collapsed="false" customWidth="true" hidden="false" outlineLevel="0" max="8" min="3" style="0" width="14"/>
    <col collapsed="false" customWidth="true" hidden="false" outlineLevel="0" max="9" min="9" style="0" width="16"/>
  </cols>
  <sheetData>
    <row r="1" customFormat="false" ht="19.7" hidden="false" customHeight="false" outlineLevel="0" collapsed="false">
      <c r="B1" s="1" t="s">
        <v>74</v>
      </c>
    </row>
    <row r="2" customFormat="false" ht="15" hidden="false" customHeight="false" outlineLevel="0" collapsed="false">
      <c r="B2" s="2" t="s">
        <v>75</v>
      </c>
    </row>
    <row r="4" customFormat="false" ht="15" hidden="false" customHeight="false" outlineLevel="0" collapsed="false">
      <c r="B4" s="14" t="s">
        <v>76</v>
      </c>
    </row>
    <row r="5" customFormat="false" ht="15" hidden="false" customHeight="false" outlineLevel="0" collapsed="false">
      <c r="A5" s="3"/>
      <c r="B5" s="3" t="s">
        <v>77</v>
      </c>
      <c r="C5" s="3" t="s">
        <v>78</v>
      </c>
      <c r="D5" s="3" t="s">
        <v>79</v>
      </c>
      <c r="E5" s="3" t="s">
        <v>80</v>
      </c>
      <c r="F5" s="3" t="s">
        <v>81</v>
      </c>
      <c r="G5" s="3" t="s">
        <v>82</v>
      </c>
      <c r="H5" s="3" t="s">
        <v>83</v>
      </c>
      <c r="I5" s="3" t="s">
        <v>84</v>
      </c>
    </row>
    <row r="6" customFormat="false" ht="15" hidden="false" customHeight="false" outlineLevel="0" collapsed="false">
      <c r="B6" s="0" t="s">
        <v>85</v>
      </c>
      <c r="C6" s="26" t="n">
        <f aca="false">0</f>
        <v>0</v>
      </c>
      <c r="D6" s="26" t="n">
        <f aca="false">0</f>
        <v>0</v>
      </c>
      <c r="E6" s="26" t="n">
        <f aca="false">('2 · Datos'!C5*'2 · Datos'!C6*(1-'2 · Datos'!C7))*'2 · Datos'!C18</f>
        <v>22026149.376</v>
      </c>
      <c r="F6" s="26" t="n">
        <f aca="false">('2 · Datos'!C5*'2 · Datos'!C6*(1-'2 · Datos'!C7))*'2 · Datos'!C19</f>
        <v>33039224.064</v>
      </c>
      <c r="G6" s="26" t="n">
        <f aca="false">('2 · Datos'!C5*'2 · Datos'!C6*(1-'2 · Datos'!C7))*'2 · Datos'!C20</f>
        <v>33039224.064</v>
      </c>
      <c r="H6" s="26" t="n">
        <f aca="false">('2 · Datos'!C5*'2 · Datos'!C6*(1-'2 · Datos'!C7))*'2 · Datos'!C21</f>
        <v>22026149.376</v>
      </c>
      <c r="I6" s="26" t="n">
        <f aca="false">SUM(C6:H6)</f>
        <v>110130746.88</v>
      </c>
    </row>
    <row r="7" customFormat="false" ht="15" hidden="false" customHeight="false" outlineLevel="0" collapsed="false">
      <c r="B7" s="24" t="s">
        <v>86</v>
      </c>
      <c r="C7" s="27" t="n">
        <f aca="false">IF(0&lt;3,C6*'2 · Datos'!C22,0)+IF(0=3,C6+(SUM($C6:E6))*(1-'2 · Datos'!C22),0)+IF(0&gt;3,C6,0)</f>
        <v>0</v>
      </c>
      <c r="D7" s="27" t="n">
        <f aca="false">IF(1&lt;3,D6*'2 · Datos'!C22,0)+IF(1=3,D6+(SUM($C6:E6))*(1-'2 · Datos'!C22),0)+IF(1&gt;3,D6,0)</f>
        <v>0</v>
      </c>
      <c r="E7" s="27" t="n">
        <f aca="false">IF(2&lt;3,E6*'2 · Datos'!C22,0)+IF(2=3,E6+(SUM($C6:E6))*(1-'2 · Datos'!C22),0)+IF(2&gt;3,E6,0)</f>
        <v>6607844.8128</v>
      </c>
      <c r="F7" s="27" t="n">
        <f aca="false">IF(3&lt;3,F6*'2 · Datos'!C22,0)+IF(3=3,F6+(SUM($C6:E6))*(1-'2 · Datos'!C22),0)+IF(3&gt;3,F6,0)</f>
        <v>48457528.6272</v>
      </c>
      <c r="G7" s="27" t="n">
        <f aca="false">IF(4&lt;3,G6*'2 · Datos'!C22,0)+IF(4=3,G6+(SUM($C6:E6))*(1-'2 · Datos'!C22),0)+IF(4&gt;3,G6,0)</f>
        <v>33039224.064</v>
      </c>
      <c r="H7" s="27" t="n">
        <f aca="false">IF(5&lt;3,H6*'2 · Datos'!C22,0)+IF(5=3,H6+(SUM($C6:E6))*(1-'2 · Datos'!C22),0)+IF(5&gt;3,H6,0)</f>
        <v>22026149.376</v>
      </c>
      <c r="I7" s="27" t="n">
        <f aca="false">SUM(C7:H7)</f>
        <v>110130746.88</v>
      </c>
    </row>
    <row r="8" customFormat="false" ht="15" hidden="false" customHeight="false" outlineLevel="0" collapsed="false">
      <c r="B8" s="0" t="s">
        <v>87</v>
      </c>
      <c r="C8" s="26" t="n">
        <f aca="false">'2 · Datos'!C10</f>
        <v>22028349.2</v>
      </c>
      <c r="D8" s="26" t="n">
        <f aca="false">0</f>
        <v>0</v>
      </c>
      <c r="E8" s="26" t="n">
        <f aca="false">0</f>
        <v>0</v>
      </c>
      <c r="F8" s="26" t="n">
        <f aca="false">0</f>
        <v>0</v>
      </c>
      <c r="G8" s="26" t="n">
        <f aca="false">0</f>
        <v>0</v>
      </c>
      <c r="H8" s="26" t="n">
        <f aca="false">0</f>
        <v>0</v>
      </c>
      <c r="I8" s="26" t="n">
        <f aca="false">SUM(C8:H8)</f>
        <v>22028349.2</v>
      </c>
    </row>
    <row r="9" customFormat="false" ht="15" hidden="false" customHeight="false" outlineLevel="0" collapsed="false">
      <c r="B9" s="0" t="s">
        <v>88</v>
      </c>
      <c r="C9" s="26" t="n">
        <f aca="false">('2 · Datos'!C5*'2 · Datos'!C6*(1-'2 · Datos'!C7))*0.06</f>
        <v>6607844.8128</v>
      </c>
      <c r="D9" s="26" t="n">
        <f aca="false">0</f>
        <v>0</v>
      </c>
      <c r="E9" s="26" t="n">
        <f aca="false">0</f>
        <v>0</v>
      </c>
      <c r="F9" s="26" t="n">
        <f aca="false">0</f>
        <v>0</v>
      </c>
      <c r="G9" s="26" t="n">
        <f aca="false">0</f>
        <v>0</v>
      </c>
      <c r="H9" s="26" t="n">
        <f aca="false">0</f>
        <v>0</v>
      </c>
      <c r="I9" s="26" t="n">
        <f aca="false">SUM(C9:H9)</f>
        <v>6607844.8128</v>
      </c>
    </row>
    <row r="10" customFormat="false" ht="15" hidden="false" customHeight="false" outlineLevel="0" collapsed="false">
      <c r="B10" s="0" t="s">
        <v>89</v>
      </c>
      <c r="C10" s="26" t="n">
        <f aca="false">0</f>
        <v>0</v>
      </c>
      <c r="D10" s="26" t="n">
        <f aca="false">'2 · Datos'!C11*(1+'2 · Datos'!C9)</f>
        <v>13152000</v>
      </c>
      <c r="E10" s="26" t="n">
        <f aca="false">0</f>
        <v>0</v>
      </c>
      <c r="F10" s="26" t="n">
        <f aca="false">0</f>
        <v>0</v>
      </c>
      <c r="G10" s="26" t="n">
        <f aca="false">0</f>
        <v>0</v>
      </c>
      <c r="H10" s="26" t="n">
        <f aca="false">0</f>
        <v>0</v>
      </c>
      <c r="I10" s="26" t="n">
        <f aca="false">SUM(C10:H10)</f>
        <v>13152000</v>
      </c>
    </row>
    <row r="11" customFormat="false" ht="15" hidden="false" customHeight="false" outlineLevel="0" collapsed="false">
      <c r="B11" s="0" t="s">
        <v>90</v>
      </c>
      <c r="C11" s="26" t="n">
        <f aca="false">0</f>
        <v>0</v>
      </c>
      <c r="D11" s="26" t="n">
        <f aca="false">0</f>
        <v>0</v>
      </c>
      <c r="E11" s="26" t="n">
        <f aca="false">'2 · Datos'!C5*'2 · Datos'!C8*(1+'2 · Datos'!C9)/2</f>
        <v>43883840</v>
      </c>
      <c r="F11" s="26" t="n">
        <f aca="false">'2 · Datos'!C5*'2 · Datos'!C8*(1+'2 · Datos'!C9)/2</f>
        <v>43883840</v>
      </c>
      <c r="G11" s="26" t="n">
        <f aca="false">0</f>
        <v>0</v>
      </c>
      <c r="H11" s="26" t="n">
        <f aca="false">0</f>
        <v>0</v>
      </c>
      <c r="I11" s="26" t="n">
        <f aca="false">SUM(C11:H11)</f>
        <v>87767680</v>
      </c>
    </row>
    <row r="12" customFormat="false" ht="15" hidden="false" customHeight="false" outlineLevel="0" collapsed="false">
      <c r="B12" s="0" t="s">
        <v>91</v>
      </c>
      <c r="C12" s="26" t="n">
        <f aca="false">0</f>
        <v>0</v>
      </c>
      <c r="D12" s="26" t="n">
        <f aca="false">0</f>
        <v>0</v>
      </c>
      <c r="E12" s="26" t="n">
        <f aca="false">('2 · Datos'!C5*'2 · Datos'!C6*(1-'2 · Datos'!C7))*0.02/2</f>
        <v>1101307.4688</v>
      </c>
      <c r="F12" s="26" t="n">
        <f aca="false">('2 · Datos'!C5*'2 · Datos'!C6*(1-'2 · Datos'!C7))*0.02/2</f>
        <v>1101307.4688</v>
      </c>
      <c r="G12" s="26" t="n">
        <f aca="false">0</f>
        <v>0</v>
      </c>
      <c r="H12" s="26" t="n">
        <f aca="false">0</f>
        <v>0</v>
      </c>
      <c r="I12" s="26" t="n">
        <f aca="false">SUM(C12:H12)</f>
        <v>2202614.9376</v>
      </c>
    </row>
    <row r="13" customFormat="false" ht="15" hidden="false" customHeight="false" outlineLevel="0" collapsed="false">
      <c r="B13" s="0" t="s">
        <v>92</v>
      </c>
      <c r="C13" s="26" t="n">
        <f aca="false">C6*0.045</f>
        <v>0</v>
      </c>
      <c r="D13" s="26" t="n">
        <f aca="false">D6*0.045</f>
        <v>0</v>
      </c>
      <c r="E13" s="26" t="n">
        <f aca="false">E6*0.045</f>
        <v>991176.72192</v>
      </c>
      <c r="F13" s="26" t="n">
        <f aca="false">F6*0.045</f>
        <v>1486765.08288</v>
      </c>
      <c r="G13" s="26" t="n">
        <f aca="false">G6*0.045</f>
        <v>1486765.08288</v>
      </c>
      <c r="H13" s="26" t="n">
        <f aca="false">H6*0.045</f>
        <v>991176.72192</v>
      </c>
      <c r="I13" s="26" t="n">
        <f aca="false">SUM(C13:H13)</f>
        <v>4955883.6096</v>
      </c>
    </row>
    <row r="14" customFormat="false" ht="15" hidden="false" customHeight="false" outlineLevel="0" collapsed="false">
      <c r="B14" s="0" t="s">
        <v>93</v>
      </c>
      <c r="C14" s="26" t="n">
        <f aca="false">('2 · Datos'!C5*'2 · Datos'!C6*(1-'2 · Datos'!C7))*0.02/6</f>
        <v>367102.4896</v>
      </c>
      <c r="D14" s="26" t="n">
        <f aca="false">('2 · Datos'!C5*'2 · Datos'!C6*(1-'2 · Datos'!C7))*0.02/6</f>
        <v>367102.4896</v>
      </c>
      <c r="E14" s="26" t="n">
        <f aca="false">('2 · Datos'!C5*'2 · Datos'!C6*(1-'2 · Datos'!C7))*0.02/6</f>
        <v>367102.4896</v>
      </c>
      <c r="F14" s="26" t="n">
        <f aca="false">('2 · Datos'!C5*'2 · Datos'!C6*(1-'2 · Datos'!C7))*0.02/6</f>
        <v>367102.4896</v>
      </c>
      <c r="G14" s="26" t="n">
        <f aca="false">('2 · Datos'!C5*'2 · Datos'!C6*(1-'2 · Datos'!C7))*0.02/6</f>
        <v>367102.4896</v>
      </c>
      <c r="H14" s="26" t="n">
        <f aca="false">('2 · Datos'!C5*'2 · Datos'!C6*(1-'2 · Datos'!C7))*0.02/6</f>
        <v>367102.4896</v>
      </c>
      <c r="I14" s="26" t="n">
        <f aca="false">SUM(C14:H14)</f>
        <v>2202614.9376</v>
      </c>
    </row>
    <row r="15" customFormat="false" ht="15" hidden="false" customHeight="false" outlineLevel="0" collapsed="false">
      <c r="B15" s="0" t="s">
        <v>94</v>
      </c>
      <c r="C15" s="26" t="n">
        <f aca="false">IF(0=5,MAX(0,$I7-SUM($I8:$I14))*'2 · Datos'!C13,0)</f>
        <v>0</v>
      </c>
      <c r="D15" s="26" t="n">
        <f aca="false">IF(1=5,MAX(0,$I7-SUM($I8:$I14))*'2 · Datos'!C13,0)</f>
        <v>0</v>
      </c>
      <c r="E15" s="26" t="n">
        <f aca="false">IF(2=5,MAX(0,$I7-SUM($I8:$I14))*'2 · Datos'!C13,0)</f>
        <v>0</v>
      </c>
      <c r="F15" s="26" t="n">
        <f aca="false">IF(3=5,MAX(0,$I7-SUM($I8:$I14))*'2 · Datos'!C13,0)</f>
        <v>0</v>
      </c>
      <c r="G15" s="26" t="n">
        <f aca="false">IF(4=5,MAX(0,$I7-SUM($I8:$I14))*'2 · Datos'!C13,0)</f>
        <v>0</v>
      </c>
      <c r="H15" s="26" t="n">
        <f aca="false">IF(5=5,MAX(0,$I7-SUM($I8:$I14))*'2 · Datos'!C13,0)</f>
        <v>0</v>
      </c>
      <c r="I15" s="26" t="n">
        <f aca="false">SUM(C15:H15)</f>
        <v>0</v>
      </c>
    </row>
    <row r="16" customFormat="false" ht="15" hidden="false" customHeight="false" outlineLevel="0" collapsed="false">
      <c r="B16" s="24" t="s">
        <v>95</v>
      </c>
      <c r="C16" s="27" t="n">
        <f aca="false">C7-SUM(C8:C15)</f>
        <v>-29003296.5024</v>
      </c>
      <c r="D16" s="27" t="n">
        <f aca="false">D7-SUM(D8:D15)</f>
        <v>-13519102.4896</v>
      </c>
      <c r="E16" s="27" t="n">
        <f aca="false">E7-SUM(E8:E15)</f>
        <v>-39735581.86752</v>
      </c>
      <c r="F16" s="27" t="n">
        <f aca="false">F7-SUM(F8:F15)</f>
        <v>1618513.58591999</v>
      </c>
      <c r="G16" s="27" t="n">
        <f aca="false">G7-SUM(G8:G15)</f>
        <v>31185356.49152</v>
      </c>
      <c r="H16" s="27" t="n">
        <f aca="false">H7-SUM(H8:H15)</f>
        <v>20667870.16448</v>
      </c>
      <c r="I16" s="27" t="n">
        <f aca="false">SUM(C16:H16)</f>
        <v>-28786240.6176</v>
      </c>
    </row>
    <row r="17" customFormat="false" ht="15" hidden="false" customHeight="false" outlineLevel="0" collapsed="false">
      <c r="B17" s="24" t="s">
        <v>96</v>
      </c>
      <c r="C17" s="27" t="n">
        <f aca="false">C16</f>
        <v>-29003296.5024</v>
      </c>
      <c r="D17" s="27" t="n">
        <f aca="false">C17+D16</f>
        <v>-42522398.992</v>
      </c>
      <c r="E17" s="27" t="n">
        <f aca="false">D17+E16</f>
        <v>-82257980.85952</v>
      </c>
      <c r="F17" s="27" t="n">
        <f aca="false">E17+F16</f>
        <v>-80639467.2736</v>
      </c>
      <c r="G17" s="27" t="n">
        <f aca="false">F17+G16</f>
        <v>-49454110.78208</v>
      </c>
      <c r="H17" s="27" t="n">
        <f aca="false">G17+H16</f>
        <v>-28786240.6176</v>
      </c>
      <c r="I17" s="24"/>
    </row>
    <row r="20" customFormat="false" ht="15" hidden="false" customHeight="false" outlineLevel="0" collapsed="false">
      <c r="B20" s="14" t="s">
        <v>97</v>
      </c>
    </row>
    <row r="21" customFormat="false" ht="15" hidden="false" customHeight="false" outlineLevel="0" collapsed="false">
      <c r="A21" s="3"/>
      <c r="B21" s="3" t="s">
        <v>77</v>
      </c>
      <c r="C21" s="3" t="s">
        <v>78</v>
      </c>
      <c r="D21" s="3" t="s">
        <v>79</v>
      </c>
      <c r="E21" s="3" t="s">
        <v>80</v>
      </c>
      <c r="F21" s="3" t="s">
        <v>81</v>
      </c>
      <c r="G21" s="3" t="s">
        <v>82</v>
      </c>
      <c r="H21" s="3" t="s">
        <v>83</v>
      </c>
      <c r="I21" s="3" t="s">
        <v>84</v>
      </c>
    </row>
    <row r="22" customFormat="false" ht="15" hidden="false" customHeight="false" outlineLevel="0" collapsed="false">
      <c r="B22" s="0" t="s">
        <v>85</v>
      </c>
      <c r="C22" s="26" t="n">
        <f aca="false">0</f>
        <v>0</v>
      </c>
      <c r="D22" s="26" t="n">
        <f aca="false">0</f>
        <v>0</v>
      </c>
      <c r="E22" s="26" t="n">
        <f aca="false">('2 · Datos'!D5*'2 · Datos'!D6*(1-'2 · Datos'!D7))*'2 · Datos'!D18</f>
        <v>53583129.6</v>
      </c>
      <c r="F22" s="26" t="n">
        <f aca="false">('2 · Datos'!D5*'2 · Datos'!D6*(1-'2 · Datos'!D7))*'2 · Datos'!D19</f>
        <v>53583129.6</v>
      </c>
      <c r="G22" s="26" t="n">
        <f aca="false">('2 · Datos'!D5*'2 · Datos'!D6*(1-'2 · Datos'!D7))*'2 · Datos'!D20</f>
        <v>26791564.8</v>
      </c>
      <c r="H22" s="26" t="n">
        <f aca="false">('2 · Datos'!D5*'2 · Datos'!D6*(1-'2 · Datos'!D7))*'2 · Datos'!D21</f>
        <v>0</v>
      </c>
      <c r="I22" s="26" t="n">
        <f aca="false">SUM(C22:H22)</f>
        <v>133957824</v>
      </c>
    </row>
    <row r="23" customFormat="false" ht="15" hidden="false" customHeight="false" outlineLevel="0" collapsed="false">
      <c r="B23" s="24" t="s">
        <v>86</v>
      </c>
      <c r="C23" s="27" t="n">
        <f aca="false">IF(0&lt;3,C22*'2 · Datos'!D22,0)+IF(0=3,C22+(SUM($C22:E22))*(1-'2 · Datos'!D22),0)+IF(0&gt;3,C22,0)</f>
        <v>0</v>
      </c>
      <c r="D23" s="27" t="n">
        <f aca="false">IF(1&lt;3,D22*'2 · Datos'!D22,0)+IF(1=3,D22+(SUM($C22:E22))*(1-'2 · Datos'!D22),0)+IF(1&gt;3,D22,0)</f>
        <v>0</v>
      </c>
      <c r="E23" s="27" t="n">
        <f aca="false">IF(2&lt;3,E22*'2 · Datos'!D22,0)+IF(2=3,E22+(SUM($C22:E22))*(1-'2 · Datos'!D22),0)+IF(2&gt;3,E22,0)</f>
        <v>16074938.88</v>
      </c>
      <c r="F23" s="27" t="n">
        <f aca="false">IF(3&lt;3,F22*'2 · Datos'!D22,0)+IF(3=3,F22+(SUM($C22:E22))*(1-'2 · Datos'!D22),0)+IF(3&gt;3,F22,0)</f>
        <v>91091320.32</v>
      </c>
      <c r="G23" s="27" t="n">
        <f aca="false">IF(4&lt;3,G22*'2 · Datos'!D22,0)+IF(4=3,G22+(SUM($C22:E22))*(1-'2 · Datos'!D22),0)+IF(4&gt;3,G22,0)</f>
        <v>26791564.8</v>
      </c>
      <c r="H23" s="27" t="n">
        <f aca="false">IF(5&lt;3,H22*'2 · Datos'!D22,0)+IF(5=3,H22+(SUM($C22:E22))*(1-'2 · Datos'!D22),0)+IF(5&gt;3,H22,0)</f>
        <v>0</v>
      </c>
      <c r="I23" s="27" t="n">
        <f aca="false">SUM(C23:H23)</f>
        <v>133957824</v>
      </c>
    </row>
    <row r="24" customFormat="false" ht="15" hidden="false" customHeight="false" outlineLevel="0" collapsed="false">
      <c r="B24" s="0" t="s">
        <v>87</v>
      </c>
      <c r="C24" s="26" t="n">
        <f aca="false">'2 · Datos'!D10</f>
        <v>22028349.2</v>
      </c>
      <c r="D24" s="26" t="n">
        <f aca="false">0</f>
        <v>0</v>
      </c>
      <c r="E24" s="26" t="n">
        <f aca="false">0</f>
        <v>0</v>
      </c>
      <c r="F24" s="26" t="n">
        <f aca="false">0</f>
        <v>0</v>
      </c>
      <c r="G24" s="26" t="n">
        <f aca="false">0</f>
        <v>0</v>
      </c>
      <c r="H24" s="26" t="n">
        <f aca="false">0</f>
        <v>0</v>
      </c>
      <c r="I24" s="26" t="n">
        <f aca="false">SUM(C24:H24)</f>
        <v>22028349.2</v>
      </c>
    </row>
    <row r="25" customFormat="false" ht="15" hidden="false" customHeight="false" outlineLevel="0" collapsed="false">
      <c r="B25" s="0" t="s">
        <v>88</v>
      </c>
      <c r="C25" s="26" t="n">
        <f aca="false">('2 · Datos'!D5*'2 · Datos'!D6*(1-'2 · Datos'!D7))*0.06</f>
        <v>8037469.44</v>
      </c>
      <c r="D25" s="26" t="n">
        <f aca="false">0</f>
        <v>0</v>
      </c>
      <c r="E25" s="26" t="n">
        <f aca="false">0</f>
        <v>0</v>
      </c>
      <c r="F25" s="26" t="n">
        <f aca="false">0</f>
        <v>0</v>
      </c>
      <c r="G25" s="26" t="n">
        <f aca="false">0</f>
        <v>0</v>
      </c>
      <c r="H25" s="26" t="n">
        <f aca="false">0</f>
        <v>0</v>
      </c>
      <c r="I25" s="26" t="n">
        <f aca="false">SUM(C25:H25)</f>
        <v>8037469.44</v>
      </c>
    </row>
    <row r="26" customFormat="false" ht="15" hidden="false" customHeight="false" outlineLevel="0" collapsed="false">
      <c r="B26" s="0" t="s">
        <v>89</v>
      </c>
      <c r="C26" s="26" t="n">
        <f aca="false">0</f>
        <v>0</v>
      </c>
      <c r="D26" s="26" t="n">
        <f aca="false">'2 · Datos'!D11*(1+'2 · Datos'!D9)</f>
        <v>10960000</v>
      </c>
      <c r="E26" s="26" t="n">
        <f aca="false">0</f>
        <v>0</v>
      </c>
      <c r="F26" s="26" t="n">
        <f aca="false">0</f>
        <v>0</v>
      </c>
      <c r="G26" s="26" t="n">
        <f aca="false">0</f>
        <v>0</v>
      </c>
      <c r="H26" s="26" t="n">
        <f aca="false">0</f>
        <v>0</v>
      </c>
      <c r="I26" s="26" t="n">
        <f aca="false">SUM(C26:H26)</f>
        <v>10960000</v>
      </c>
    </row>
    <row r="27" customFormat="false" ht="15" hidden="false" customHeight="false" outlineLevel="0" collapsed="false">
      <c r="B27" s="0" t="s">
        <v>90</v>
      </c>
      <c r="C27" s="26" t="n">
        <f aca="false">0</f>
        <v>0</v>
      </c>
      <c r="D27" s="26" t="n">
        <f aca="false">0</f>
        <v>0</v>
      </c>
      <c r="E27" s="26" t="n">
        <f aca="false">'2 · Datos'!D5*'2 · Datos'!D8*(1+'2 · Datos'!D9)/2</f>
        <v>38820320</v>
      </c>
      <c r="F27" s="26" t="n">
        <f aca="false">'2 · Datos'!D5*'2 · Datos'!D8*(1+'2 · Datos'!D9)/2</f>
        <v>38820320</v>
      </c>
      <c r="G27" s="26" t="n">
        <f aca="false">0</f>
        <v>0</v>
      </c>
      <c r="H27" s="26" t="n">
        <f aca="false">0</f>
        <v>0</v>
      </c>
      <c r="I27" s="26" t="n">
        <f aca="false">SUM(C27:H27)</f>
        <v>77640640</v>
      </c>
    </row>
    <row r="28" customFormat="false" ht="15" hidden="false" customHeight="false" outlineLevel="0" collapsed="false">
      <c r="B28" s="0" t="s">
        <v>91</v>
      </c>
      <c r="C28" s="26" t="n">
        <f aca="false">0</f>
        <v>0</v>
      </c>
      <c r="D28" s="26" t="n">
        <f aca="false">0</f>
        <v>0</v>
      </c>
      <c r="E28" s="26" t="n">
        <f aca="false">('2 · Datos'!D5*'2 · Datos'!D6*(1-'2 · Datos'!D7))*0.02/2</f>
        <v>1339578.24</v>
      </c>
      <c r="F28" s="26" t="n">
        <f aca="false">('2 · Datos'!D5*'2 · Datos'!D6*(1-'2 · Datos'!D7))*0.02/2</f>
        <v>1339578.24</v>
      </c>
      <c r="G28" s="26" t="n">
        <f aca="false">0</f>
        <v>0</v>
      </c>
      <c r="H28" s="26" t="n">
        <f aca="false">0</f>
        <v>0</v>
      </c>
      <c r="I28" s="26" t="n">
        <f aca="false">SUM(C28:H28)</f>
        <v>2679156.48</v>
      </c>
    </row>
    <row r="29" customFormat="false" ht="15" hidden="false" customHeight="false" outlineLevel="0" collapsed="false">
      <c r="B29" s="0" t="s">
        <v>92</v>
      </c>
      <c r="C29" s="26" t="n">
        <f aca="false">C22*0.045</f>
        <v>0</v>
      </c>
      <c r="D29" s="26" t="n">
        <f aca="false">D22*0.045</f>
        <v>0</v>
      </c>
      <c r="E29" s="26" t="n">
        <f aca="false">E22*0.045</f>
        <v>2411240.832</v>
      </c>
      <c r="F29" s="26" t="n">
        <f aca="false">F22*0.045</f>
        <v>2411240.832</v>
      </c>
      <c r="G29" s="26" t="n">
        <f aca="false">G22*0.045</f>
        <v>1205620.416</v>
      </c>
      <c r="H29" s="26" t="n">
        <f aca="false">H22*0.045</f>
        <v>0</v>
      </c>
      <c r="I29" s="26" t="n">
        <f aca="false">SUM(C29:H29)</f>
        <v>6028102.08</v>
      </c>
    </row>
    <row r="30" customFormat="false" ht="15" hidden="false" customHeight="false" outlineLevel="0" collapsed="false">
      <c r="B30" s="0" t="s">
        <v>93</v>
      </c>
      <c r="C30" s="26" t="n">
        <f aca="false">('2 · Datos'!D5*'2 · Datos'!D6*(1-'2 · Datos'!D7))*0.02/6</f>
        <v>446526.08</v>
      </c>
      <c r="D30" s="26" t="n">
        <f aca="false">('2 · Datos'!D5*'2 · Datos'!D6*(1-'2 · Datos'!D7))*0.02/6</f>
        <v>446526.08</v>
      </c>
      <c r="E30" s="26" t="n">
        <f aca="false">('2 · Datos'!D5*'2 · Datos'!D6*(1-'2 · Datos'!D7))*0.02/6</f>
        <v>446526.08</v>
      </c>
      <c r="F30" s="26" t="n">
        <f aca="false">('2 · Datos'!D5*'2 · Datos'!D6*(1-'2 · Datos'!D7))*0.02/6</f>
        <v>446526.08</v>
      </c>
      <c r="G30" s="26" t="n">
        <f aca="false">('2 · Datos'!D5*'2 · Datos'!D6*(1-'2 · Datos'!D7))*0.02/6</f>
        <v>446526.08</v>
      </c>
      <c r="H30" s="26" t="n">
        <f aca="false">('2 · Datos'!D5*'2 · Datos'!D6*(1-'2 · Datos'!D7))*0.02/6</f>
        <v>446526.08</v>
      </c>
      <c r="I30" s="26" t="n">
        <f aca="false">SUM(C30:H30)</f>
        <v>2679156.48</v>
      </c>
    </row>
    <row r="31" customFormat="false" ht="15" hidden="false" customHeight="false" outlineLevel="0" collapsed="false">
      <c r="B31" s="0" t="s">
        <v>94</v>
      </c>
      <c r="C31" s="26" t="n">
        <f aca="false">IF(0=5,MAX(0,$I23-SUM($I24:$I30))*'2 · Datos'!D13,0)</f>
        <v>0</v>
      </c>
      <c r="D31" s="26" t="n">
        <f aca="false">IF(1=5,MAX(0,$I23-SUM($I24:$I30))*'2 · Datos'!D13,0)</f>
        <v>0</v>
      </c>
      <c r="E31" s="26" t="n">
        <f aca="false">IF(2=5,MAX(0,$I23-SUM($I24:$I30))*'2 · Datos'!D13,0)</f>
        <v>0</v>
      </c>
      <c r="F31" s="26" t="n">
        <f aca="false">IF(3=5,MAX(0,$I23-SUM($I24:$I30))*'2 · Datos'!D13,0)</f>
        <v>0</v>
      </c>
      <c r="G31" s="26" t="n">
        <f aca="false">IF(4=5,MAX(0,$I23-SUM($I24:$I30))*'2 · Datos'!D13,0)</f>
        <v>0</v>
      </c>
      <c r="H31" s="26" t="n">
        <f aca="false">IF(5=5,MAX(0,$I23-SUM($I24:$I30))*'2 · Datos'!D13,0)</f>
        <v>1171485.09599999</v>
      </c>
      <c r="I31" s="26" t="n">
        <f aca="false">SUM(C31:H31)</f>
        <v>1171485.09599999</v>
      </c>
    </row>
    <row r="32" customFormat="false" ht="15" hidden="false" customHeight="false" outlineLevel="0" collapsed="false">
      <c r="B32" s="24" t="s">
        <v>95</v>
      </c>
      <c r="C32" s="27" t="n">
        <f aca="false">C23-SUM(C24:C31)</f>
        <v>-30512344.72</v>
      </c>
      <c r="D32" s="27" t="n">
        <f aca="false">D23-SUM(D24:D31)</f>
        <v>-11406526.08</v>
      </c>
      <c r="E32" s="27" t="n">
        <f aca="false">E23-SUM(E24:E31)</f>
        <v>-26942726.272</v>
      </c>
      <c r="F32" s="27" t="n">
        <f aca="false">F23-SUM(F24:F31)</f>
        <v>48073655.168</v>
      </c>
      <c r="G32" s="27" t="n">
        <f aca="false">G23-SUM(G24:G31)</f>
        <v>25139418.304</v>
      </c>
      <c r="H32" s="27" t="n">
        <f aca="false">H23-SUM(H24:H31)</f>
        <v>-1618011.17599999</v>
      </c>
      <c r="I32" s="27" t="n">
        <f aca="false">SUM(C32:H32)</f>
        <v>2733465.22400001</v>
      </c>
    </row>
    <row r="33" customFormat="false" ht="15" hidden="false" customHeight="false" outlineLevel="0" collapsed="false">
      <c r="B33" s="24" t="s">
        <v>96</v>
      </c>
      <c r="C33" s="27" t="n">
        <f aca="false">C32</f>
        <v>-30512344.72</v>
      </c>
      <c r="D33" s="27" t="n">
        <f aca="false">C33+D32</f>
        <v>-41918870.8</v>
      </c>
      <c r="E33" s="27" t="n">
        <f aca="false">D33+E32</f>
        <v>-68861597.072</v>
      </c>
      <c r="F33" s="27" t="n">
        <f aca="false">E33+F32</f>
        <v>-20787941.904</v>
      </c>
      <c r="G33" s="27" t="n">
        <f aca="false">F33+G32</f>
        <v>4351476.4</v>
      </c>
      <c r="H33" s="27" t="n">
        <f aca="false">G33+H32</f>
        <v>2733465.22400001</v>
      </c>
      <c r="I33" s="24"/>
    </row>
    <row r="36" customFormat="false" ht="15" hidden="false" customHeight="false" outlineLevel="0" collapsed="false">
      <c r="B36" s="14" t="s">
        <v>98</v>
      </c>
    </row>
    <row r="37" customFormat="false" ht="15" hidden="false" customHeight="false" outlineLevel="0" collapsed="false">
      <c r="A37" s="3"/>
      <c r="B37" s="3" t="s">
        <v>77</v>
      </c>
      <c r="C37" s="3" t="s">
        <v>78</v>
      </c>
      <c r="D37" s="3" t="s">
        <v>79</v>
      </c>
      <c r="E37" s="3" t="s">
        <v>80</v>
      </c>
      <c r="F37" s="3" t="s">
        <v>81</v>
      </c>
      <c r="G37" s="3" t="s">
        <v>82</v>
      </c>
      <c r="H37" s="3" t="s">
        <v>83</v>
      </c>
      <c r="I37" s="3" t="s">
        <v>84</v>
      </c>
    </row>
    <row r="38" customFormat="false" ht="15" hidden="false" customHeight="false" outlineLevel="0" collapsed="false">
      <c r="B38" s="0" t="s">
        <v>85</v>
      </c>
      <c r="C38" s="26" t="n">
        <f aca="false">0</f>
        <v>0</v>
      </c>
      <c r="D38" s="26" t="n">
        <f aca="false">0</f>
        <v>0</v>
      </c>
      <c r="E38" s="26" t="n">
        <f aca="false">('2 · Datos'!E5*'2 · Datos'!E6*(1-'2 · Datos'!E7))*'2 · Datos'!E18</f>
        <v>82855773</v>
      </c>
      <c r="F38" s="26" t="n">
        <f aca="false">('2 · Datos'!E5*'2 · Datos'!E6*(1-'2 · Datos'!E7))*'2 · Datos'!E19</f>
        <v>82855773</v>
      </c>
      <c r="G38" s="26" t="n">
        <f aca="false">('2 · Datos'!E5*'2 · Datos'!E6*(1-'2 · Datos'!E7))*'2 · Datos'!E20</f>
        <v>0</v>
      </c>
      <c r="H38" s="26" t="n">
        <f aca="false">('2 · Datos'!E5*'2 · Datos'!E6*(1-'2 · Datos'!E7))*'2 · Datos'!E21</f>
        <v>0</v>
      </c>
      <c r="I38" s="26" t="n">
        <f aca="false">SUM(C38:H38)</f>
        <v>165711546</v>
      </c>
    </row>
    <row r="39" customFormat="false" ht="15" hidden="false" customHeight="false" outlineLevel="0" collapsed="false">
      <c r="B39" s="24" t="s">
        <v>86</v>
      </c>
      <c r="C39" s="27" t="n">
        <f aca="false">IF(0&lt;3,C38*'2 · Datos'!E22,0)+IF(0=3,C38+(SUM($C38:E38))*(1-'2 · Datos'!E22),0)+IF(0&gt;3,C38,0)</f>
        <v>0</v>
      </c>
      <c r="D39" s="27" t="n">
        <f aca="false">IF(1&lt;3,D38*'2 · Datos'!E22,0)+IF(1=3,D38+(SUM($C38:E38))*(1-'2 · Datos'!E22),0)+IF(1&gt;3,D38,0)</f>
        <v>0</v>
      </c>
      <c r="E39" s="27" t="n">
        <f aca="false">IF(2&lt;3,E38*'2 · Datos'!E22,0)+IF(2=3,E38+(SUM($C38:E38))*(1-'2 · Datos'!E22),0)+IF(2&gt;3,E38,0)</f>
        <v>24856731.9</v>
      </c>
      <c r="F39" s="27" t="n">
        <f aca="false">IF(3&lt;3,F38*'2 · Datos'!E22,0)+IF(3=3,F38+(SUM($C38:E38))*(1-'2 · Datos'!E22),0)+IF(3&gt;3,F38,0)</f>
        <v>140854814.1</v>
      </c>
      <c r="G39" s="27" t="n">
        <f aca="false">IF(4&lt;3,G38*'2 · Datos'!E22,0)+IF(4=3,G38+(SUM($C38:E38))*(1-'2 · Datos'!E22),0)+IF(4&gt;3,G38,0)</f>
        <v>0</v>
      </c>
      <c r="H39" s="27" t="n">
        <f aca="false">IF(5&lt;3,H38*'2 · Datos'!E22,0)+IF(5=3,H38+(SUM($C38:E38))*(1-'2 · Datos'!E22),0)+IF(5&gt;3,H38,0)</f>
        <v>0</v>
      </c>
      <c r="I39" s="27" t="n">
        <f aca="false">SUM(C39:H39)</f>
        <v>165711546</v>
      </c>
    </row>
    <row r="40" customFormat="false" ht="15" hidden="false" customHeight="false" outlineLevel="0" collapsed="false">
      <c r="B40" s="0" t="s">
        <v>87</v>
      </c>
      <c r="C40" s="26" t="n">
        <f aca="false">'2 · Datos'!E10</f>
        <v>22028349.2</v>
      </c>
      <c r="D40" s="26" t="n">
        <f aca="false">0</f>
        <v>0</v>
      </c>
      <c r="E40" s="26" t="n">
        <f aca="false">0</f>
        <v>0</v>
      </c>
      <c r="F40" s="26" t="n">
        <f aca="false">0</f>
        <v>0</v>
      </c>
      <c r="G40" s="26" t="n">
        <f aca="false">0</f>
        <v>0</v>
      </c>
      <c r="H40" s="26" t="n">
        <f aca="false">0</f>
        <v>0</v>
      </c>
      <c r="I40" s="26" t="n">
        <f aca="false">SUM(C40:H40)</f>
        <v>22028349.2</v>
      </c>
    </row>
    <row r="41" customFormat="false" ht="15" hidden="false" customHeight="false" outlineLevel="0" collapsed="false">
      <c r="B41" s="0" t="s">
        <v>88</v>
      </c>
      <c r="C41" s="26" t="n">
        <f aca="false">('2 · Datos'!E5*'2 · Datos'!E6*(1-'2 · Datos'!E7))*0.06</f>
        <v>9942692.76</v>
      </c>
      <c r="D41" s="26" t="n">
        <f aca="false">0</f>
        <v>0</v>
      </c>
      <c r="E41" s="26" t="n">
        <f aca="false">0</f>
        <v>0</v>
      </c>
      <c r="F41" s="26" t="n">
        <f aca="false">0</f>
        <v>0</v>
      </c>
      <c r="G41" s="26" t="n">
        <f aca="false">0</f>
        <v>0</v>
      </c>
      <c r="H41" s="26" t="n">
        <f aca="false">0</f>
        <v>0</v>
      </c>
      <c r="I41" s="26" t="n">
        <f aca="false">SUM(C41:H41)</f>
        <v>9942692.76</v>
      </c>
    </row>
    <row r="42" customFormat="false" ht="15" hidden="false" customHeight="false" outlineLevel="0" collapsed="false">
      <c r="B42" s="0" t="s">
        <v>89</v>
      </c>
      <c r="C42" s="26" t="n">
        <f aca="false">0</f>
        <v>0</v>
      </c>
      <c r="D42" s="26" t="n">
        <f aca="false">'2 · Datos'!E11*(1+'2 · Datos'!E9)</f>
        <v>9864000</v>
      </c>
      <c r="E42" s="26" t="n">
        <f aca="false">0</f>
        <v>0</v>
      </c>
      <c r="F42" s="26" t="n">
        <f aca="false">0</f>
        <v>0</v>
      </c>
      <c r="G42" s="26" t="n">
        <f aca="false">0</f>
        <v>0</v>
      </c>
      <c r="H42" s="26" t="n">
        <f aca="false">0</f>
        <v>0</v>
      </c>
      <c r="I42" s="26" t="n">
        <f aca="false">SUM(C42:H42)</f>
        <v>9864000</v>
      </c>
    </row>
    <row r="43" customFormat="false" ht="15" hidden="false" customHeight="false" outlineLevel="0" collapsed="false">
      <c r="B43" s="0" t="s">
        <v>90</v>
      </c>
      <c r="C43" s="26" t="n">
        <f aca="false">0</f>
        <v>0</v>
      </c>
      <c r="D43" s="26" t="n">
        <f aca="false">0</f>
        <v>0</v>
      </c>
      <c r="E43" s="26" t="n">
        <f aca="false">'2 · Datos'!E5*'2 · Datos'!E8*(1+'2 · Datos'!E9)/2</f>
        <v>37132480</v>
      </c>
      <c r="F43" s="26" t="n">
        <f aca="false">'2 · Datos'!E5*'2 · Datos'!E8*(1+'2 · Datos'!E9)/2</f>
        <v>37132480</v>
      </c>
      <c r="G43" s="26" t="n">
        <f aca="false">0</f>
        <v>0</v>
      </c>
      <c r="H43" s="26" t="n">
        <f aca="false">0</f>
        <v>0</v>
      </c>
      <c r="I43" s="26" t="n">
        <f aca="false">SUM(C43:H43)</f>
        <v>74264960</v>
      </c>
    </row>
    <row r="44" customFormat="false" ht="15" hidden="false" customHeight="false" outlineLevel="0" collapsed="false">
      <c r="B44" s="0" t="s">
        <v>91</v>
      </c>
      <c r="C44" s="26" t="n">
        <f aca="false">0</f>
        <v>0</v>
      </c>
      <c r="D44" s="26" t="n">
        <f aca="false">0</f>
        <v>0</v>
      </c>
      <c r="E44" s="26" t="n">
        <f aca="false">('2 · Datos'!E5*'2 · Datos'!E6*(1-'2 · Datos'!E7))*0.02/2</f>
        <v>1657115.46</v>
      </c>
      <c r="F44" s="26" t="n">
        <f aca="false">('2 · Datos'!E5*'2 · Datos'!E6*(1-'2 · Datos'!E7))*0.02/2</f>
        <v>1657115.46</v>
      </c>
      <c r="G44" s="26" t="n">
        <f aca="false">0</f>
        <v>0</v>
      </c>
      <c r="H44" s="26" t="n">
        <f aca="false">0</f>
        <v>0</v>
      </c>
      <c r="I44" s="26" t="n">
        <f aca="false">SUM(C44:H44)</f>
        <v>3314230.92</v>
      </c>
    </row>
    <row r="45" customFormat="false" ht="15" hidden="false" customHeight="false" outlineLevel="0" collapsed="false">
      <c r="B45" s="0" t="s">
        <v>92</v>
      </c>
      <c r="C45" s="26" t="n">
        <f aca="false">C38*0.045</f>
        <v>0</v>
      </c>
      <c r="D45" s="26" t="n">
        <f aca="false">D38*0.045</f>
        <v>0</v>
      </c>
      <c r="E45" s="26" t="n">
        <f aca="false">E38*0.045</f>
        <v>3728509.785</v>
      </c>
      <c r="F45" s="26" t="n">
        <f aca="false">F38*0.045</f>
        <v>3728509.785</v>
      </c>
      <c r="G45" s="26" t="n">
        <f aca="false">G38*0.045</f>
        <v>0</v>
      </c>
      <c r="H45" s="26" t="n">
        <f aca="false">H38*0.045</f>
        <v>0</v>
      </c>
      <c r="I45" s="26" t="n">
        <f aca="false">SUM(C45:H45)</f>
        <v>7457019.57</v>
      </c>
    </row>
    <row r="46" customFormat="false" ht="15" hidden="false" customHeight="false" outlineLevel="0" collapsed="false">
      <c r="B46" s="0" t="s">
        <v>93</v>
      </c>
      <c r="C46" s="26" t="n">
        <f aca="false">('2 · Datos'!E5*'2 · Datos'!E6*(1-'2 · Datos'!E7))*0.02/6</f>
        <v>552371.82</v>
      </c>
      <c r="D46" s="26" t="n">
        <f aca="false">('2 · Datos'!E5*'2 · Datos'!E6*(1-'2 · Datos'!E7))*0.02/6</f>
        <v>552371.82</v>
      </c>
      <c r="E46" s="26" t="n">
        <f aca="false">('2 · Datos'!E5*'2 · Datos'!E6*(1-'2 · Datos'!E7))*0.02/6</f>
        <v>552371.82</v>
      </c>
      <c r="F46" s="26" t="n">
        <f aca="false">('2 · Datos'!E5*'2 · Datos'!E6*(1-'2 · Datos'!E7))*0.02/6</f>
        <v>552371.82</v>
      </c>
      <c r="G46" s="26" t="n">
        <f aca="false">('2 · Datos'!E5*'2 · Datos'!E6*(1-'2 · Datos'!E7))*0.02/6</f>
        <v>552371.82</v>
      </c>
      <c r="H46" s="26" t="n">
        <f aca="false">('2 · Datos'!E5*'2 · Datos'!E6*(1-'2 · Datos'!E7))*0.02/6</f>
        <v>552371.82</v>
      </c>
      <c r="I46" s="26" t="n">
        <f aca="false">SUM(C46:H46)</f>
        <v>3314230.92</v>
      </c>
    </row>
    <row r="47" customFormat="false" ht="15" hidden="false" customHeight="false" outlineLevel="0" collapsed="false">
      <c r="B47" s="0" t="s">
        <v>94</v>
      </c>
      <c r="C47" s="26" t="n">
        <f aca="false">IF(0=5,MAX(0,$I39-SUM($I40:$I46))*'2 · Datos'!E13,0)</f>
        <v>0</v>
      </c>
      <c r="D47" s="26" t="n">
        <f aca="false">IF(1=5,MAX(0,$I39-SUM($I40:$I46))*'2 · Datos'!E13,0)</f>
        <v>0</v>
      </c>
      <c r="E47" s="26" t="n">
        <f aca="false">IF(2=5,MAX(0,$I39-SUM($I40:$I46))*'2 · Datos'!E13,0)</f>
        <v>0</v>
      </c>
      <c r="F47" s="26" t="n">
        <f aca="false">IF(3=5,MAX(0,$I39-SUM($I40:$I46))*'2 · Datos'!E13,0)</f>
        <v>0</v>
      </c>
      <c r="G47" s="26" t="n">
        <f aca="false">IF(4=5,MAX(0,$I39-SUM($I40:$I46))*'2 · Datos'!E13,0)</f>
        <v>0</v>
      </c>
      <c r="H47" s="26" t="n">
        <f aca="false">IF(5=5,MAX(0,$I39-SUM($I40:$I46))*'2 · Datos'!E13,0)</f>
        <v>10657818.789</v>
      </c>
      <c r="I47" s="26" t="n">
        <f aca="false">SUM(C47:H47)</f>
        <v>10657818.789</v>
      </c>
    </row>
    <row r="48" customFormat="false" ht="15" hidden="false" customHeight="false" outlineLevel="0" collapsed="false">
      <c r="B48" s="24" t="s">
        <v>95</v>
      </c>
      <c r="C48" s="27" t="n">
        <f aca="false">C39-SUM(C40:C47)</f>
        <v>-32523413.78</v>
      </c>
      <c r="D48" s="27" t="n">
        <f aca="false">D39-SUM(D40:D47)</f>
        <v>-10416371.82</v>
      </c>
      <c r="E48" s="27" t="n">
        <f aca="false">E39-SUM(E40:E47)</f>
        <v>-18213745.165</v>
      </c>
      <c r="F48" s="27" t="n">
        <f aca="false">F39-SUM(F40:F47)</f>
        <v>97784337.035</v>
      </c>
      <c r="G48" s="27" t="n">
        <f aca="false">G39-SUM(G40:G47)</f>
        <v>-552371.82</v>
      </c>
      <c r="H48" s="27" t="n">
        <f aca="false">H39-SUM(H40:H47)</f>
        <v>-11210190.609</v>
      </c>
      <c r="I48" s="27" t="n">
        <f aca="false">SUM(C48:H48)</f>
        <v>24868243.841</v>
      </c>
    </row>
    <row r="49" customFormat="false" ht="15" hidden="false" customHeight="false" outlineLevel="0" collapsed="false">
      <c r="B49" s="24" t="s">
        <v>96</v>
      </c>
      <c r="C49" s="27" t="n">
        <f aca="false">C48</f>
        <v>-32523413.78</v>
      </c>
      <c r="D49" s="27" t="n">
        <f aca="false">C49+D48</f>
        <v>-42939785.6</v>
      </c>
      <c r="E49" s="27" t="n">
        <f aca="false">D49+E48</f>
        <v>-61153530.765</v>
      </c>
      <c r="F49" s="27" t="n">
        <f aca="false">E49+F48</f>
        <v>36630806.27</v>
      </c>
      <c r="G49" s="27" t="n">
        <f aca="false">F49+G48</f>
        <v>36078434.45</v>
      </c>
      <c r="H49" s="27" t="n">
        <f aca="false">G49+H48</f>
        <v>24868243.841</v>
      </c>
      <c r="I49" s="24"/>
    </row>
    <row r="52" customFormat="false" ht="15" hidden="false" customHeight="false" outlineLevel="0" collapsed="false">
      <c r="B52" s="2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44"/>
    <col collapsed="false" customWidth="true" hidden="false" outlineLevel="0" max="6" min="3" style="0" width="14"/>
    <col collapsed="false" customWidth="true" hidden="false" outlineLevel="0" max="7" min="7" style="0" width="50"/>
  </cols>
  <sheetData>
    <row r="1" customFormat="false" ht="19.7" hidden="false" customHeight="false" outlineLevel="0" collapsed="false">
      <c r="B1" s="1" t="s">
        <v>100</v>
      </c>
    </row>
    <row r="2" customFormat="false" ht="15" hidden="false" customHeight="false" outlineLevel="0" collapsed="false">
      <c r="B2" s="2" t="s">
        <v>101</v>
      </c>
    </row>
    <row r="4" customFormat="false" ht="15" hidden="false" customHeight="false" outlineLevel="0" collapsed="false">
      <c r="A4" s="3"/>
      <c r="B4" s="3" t="s">
        <v>102</v>
      </c>
      <c r="C4" s="3" t="s">
        <v>103</v>
      </c>
      <c r="D4" s="3" t="s">
        <v>3</v>
      </c>
      <c r="E4" s="3" t="s">
        <v>4</v>
      </c>
      <c r="F4" s="3" t="s">
        <v>5</v>
      </c>
      <c r="G4" s="3" t="s">
        <v>104</v>
      </c>
    </row>
    <row r="5" customFormat="false" ht="15" hidden="false" customHeight="false" outlineLevel="0" collapsed="false">
      <c r="B5" s="0" t="s">
        <v>105</v>
      </c>
      <c r="C5" s="22" t="n">
        <v>0.15</v>
      </c>
      <c r="D5" s="28" t="n">
        <f aca="false">('2 · Datos'!C10)/('2 · Datos'!C5*'2 · Datos'!C6*(1-'2 · Datos'!C7))</f>
        <v>0.200019974657962</v>
      </c>
      <c r="E5" s="28" t="n">
        <f aca="false">('2 · Datos'!D10)/('2 · Datos'!D5*'2 · Datos'!D6*(1-'2 · Datos'!D7))</f>
        <v>0.164442423310788</v>
      </c>
      <c r="F5" s="28" t="n">
        <f aca="false">('2 · Datos'!E10)/('2 · Datos'!E5*'2 · Datos'!E6*(1-'2 · Datos'!E7))</f>
        <v>0.132931891179146</v>
      </c>
      <c r="G5" s="2" t="s">
        <v>106</v>
      </c>
    </row>
    <row r="6" customFormat="false" ht="15" hidden="false" customHeight="false" outlineLevel="0" collapsed="false">
      <c r="B6" s="0" t="s">
        <v>107</v>
      </c>
      <c r="C6" s="22" t="n">
        <v>0.5</v>
      </c>
      <c r="D6" s="28" t="n">
        <f aca="false">('2 · Datos'!C5*'2 · Datos'!C8*(1+'2 · Datos'!C9))/('2 · Datos'!C5*'2 · Datos'!C6*(1-'2 · Datos'!C7))</f>
        <v>0.796940749849203</v>
      </c>
      <c r="E6" s="28" t="n">
        <f aca="false">('2 · Datos'!D5*'2 · Datos'!D8*(1+'2 · Datos'!D9))/('2 · Datos'!D5*'2 · Datos'!D6*(1-'2 · Datos'!D7))</f>
        <v>0.579590185042122</v>
      </c>
      <c r="F6" s="28" t="n">
        <f aca="false">('2 · Datos'!E5*'2 · Datos'!E8*(1+'2 · Datos'!E9))/('2 · Datos'!E5*'2 · Datos'!E6*(1-'2 · Datos'!E7))</f>
        <v>0.448158029978189</v>
      </c>
      <c r="G6" s="2" t="s">
        <v>108</v>
      </c>
    </row>
    <row r="7" customFormat="false" ht="15" hidden="false" customHeight="false" outlineLevel="0" collapsed="false">
      <c r="B7" s="0" t="s">
        <v>109</v>
      </c>
      <c r="C7" s="22" t="n">
        <v>0</v>
      </c>
      <c r="D7" s="28" t="n">
        <f aca="false">('2 · Datos'!C11*(1+'2 · Datos'!C9))/('2 · Datos'!C5*'2 · Datos'!C6*(1-'2 · Datos'!C7))</f>
        <v>0.119421690786594</v>
      </c>
      <c r="E7" s="28" t="n">
        <f aca="false">('2 · Datos'!D11*(1+'2 · Datos'!D9))/('2 · Datos'!D5*'2 · Datos'!D6*(1-'2 · Datos'!D7))</f>
        <v>0.0818167963074706</v>
      </c>
      <c r="F7" s="28" t="n">
        <f aca="false">('2 · Datos'!E11*(1+'2 · Datos'!E9))/('2 · Datos'!E5*'2 · Datos'!E6*(1-'2 · Datos'!E7))</f>
        <v>0.0595251220455091</v>
      </c>
      <c r="G7" s="2" t="s">
        <v>110</v>
      </c>
    </row>
    <row r="8" customFormat="false" ht="15" hidden="false" customHeight="false" outlineLevel="0" collapsed="false">
      <c r="B8" s="0" t="s">
        <v>111</v>
      </c>
      <c r="C8" s="22" t="n">
        <v>0.145</v>
      </c>
      <c r="D8" s="28" t="n">
        <f aca="false">(('2 · Datos'!C5*'2 · Datos'!C6*(1-'2 · Datos'!C7))*'2 · Datos'!C12)/('2 · Datos'!C5*'2 · Datos'!C6*(1-'2 · Datos'!C7))</f>
        <v>0.145</v>
      </c>
      <c r="E8" s="28" t="n">
        <f aca="false">(('2 · Datos'!D5*'2 · Datos'!D6*(1-'2 · Datos'!D7))*'2 · Datos'!D12)/('2 · Datos'!D5*'2 · Datos'!D6*(1-'2 · Datos'!D7))</f>
        <v>0.145</v>
      </c>
      <c r="F8" s="28" t="n">
        <f aca="false">(('2 · Datos'!E5*'2 · Datos'!E6*(1-'2 · Datos'!E7))*'2 · Datos'!E12)/('2 · Datos'!E5*'2 · Datos'!E6*(1-'2 · Datos'!E7))</f>
        <v>0.145</v>
      </c>
      <c r="G8" s="2" t="s">
        <v>112</v>
      </c>
    </row>
    <row r="9" customFormat="false" ht="15" hidden="false" customHeight="false" outlineLevel="0" collapsed="false">
      <c r="B9" s="24" t="s">
        <v>113</v>
      </c>
      <c r="C9" s="25" t="n">
        <v>0.205</v>
      </c>
      <c r="D9" s="25" t="n">
        <f aca="false">1-SUM(D5:D8)</f>
        <v>-0.261382415293759</v>
      </c>
      <c r="E9" s="25" t="n">
        <f aca="false">1-SUM(E5:E8)</f>
        <v>0.0291505953396197</v>
      </c>
      <c r="F9" s="25" t="n">
        <f aca="false">1-SUM(F5:F8)</f>
        <v>0.214384956797156</v>
      </c>
      <c r="G9" s="2" t="s">
        <v>114</v>
      </c>
    </row>
  </sheetData>
  <conditionalFormatting sqref="D9:F9">
    <cfRule type="cellIs" priority="2" operator="greaterThanOrEqual" aboveAverage="0" equalAverage="0" bottom="0" percent="0" rank="0" text="" dxfId="0">
      <formula>$C$9</formula>
    </cfRule>
    <cfRule type="cellIs" priority="3" operator="lessThan" aboveAverage="0" equalAverage="0" bottom="0" percent="0" rank="0" text="" dxfId="1">
      <formula>$C$9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2026-09-24T16:55:28Z</dcterms:created>
  <dc:creator>openpyxl</dc:creator>
  <dc:description/>
  <dc:language>en-US</dc:language>
  <cp:lastModifiedBy/>
  <dcterms:modified xsi:type="dcterms:W3CDTF">2026-09-24T10:55:31Z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