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ME" sheetId="1" state="visible" r:id="rId1"/>
    <sheet xmlns:r="http://schemas.openxmlformats.org/officeDocument/2006/relationships" name="Tarjeta financiera" sheetId="2" state="visible" r:id="rId2"/>
    <sheet xmlns:r="http://schemas.openxmlformats.org/officeDocument/2006/relationships" name="Resumen 3 casos" sheetId="3" state="visible" r:id="rId3"/>
    <sheet xmlns:r="http://schemas.openxmlformats.org/officeDocument/2006/relationships" name="Supuestos" sheetId="4" state="visible" r:id="rId4"/>
    <sheet xmlns:r="http://schemas.openxmlformats.org/officeDocument/2006/relationships" name="Programa" sheetId="5" state="visible" r:id="rId5"/>
    <sheet xmlns:r="http://schemas.openxmlformats.org/officeDocument/2006/relationships" name="Ingresos" sheetId="6" state="visible" r:id="rId6"/>
    <sheet xmlns:r="http://schemas.openxmlformats.org/officeDocument/2006/relationships" name="Presupuesto de obra" sheetId="7" state="visible" r:id="rId7"/>
    <sheet xmlns:r="http://schemas.openxmlformats.org/officeDocument/2006/relationships" name="Egresos" sheetId="8" state="visible" r:id="rId8"/>
    <sheet xmlns:r="http://schemas.openxmlformats.org/officeDocument/2006/relationships" name="Borgo M15" sheetId="9" state="visible" r:id="rId9"/>
    <sheet xmlns:r="http://schemas.openxmlformats.org/officeDocument/2006/relationships" name="Balance" sheetId="10" state="visible" r:id="rId10"/>
    <sheet xmlns:r="http://schemas.openxmlformats.org/officeDocument/2006/relationships" name="Sensibilidad" sheetId="11" state="visible" r:id="rId11"/>
    <sheet xmlns:r="http://schemas.openxmlformats.org/officeDocument/2006/relationships" name="Datos web" sheetId="12" state="visible" r:id="rId12"/>
    <sheet xmlns:r="http://schemas.openxmlformats.org/officeDocument/2006/relationships" name="Conceptos" sheetId="13" state="visible" r:id="rId13"/>
    <sheet xmlns:r="http://schemas.openxmlformats.org/officeDocument/2006/relationships" name="Pendientes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;-"/>
    <numFmt numFmtId="165" formatCode="$#,##0;($#,##0);-"/>
    <numFmt numFmtId="166" formatCode="0.0%;(0.0%);-"/>
    <numFmt numFmtId="167" formatCode="0.0"/>
  </numFmts>
  <fonts count="11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10"/>
    </font>
    <font>
      <name val="Arial"/>
      <b val="1"/>
      <sz val="10"/>
    </font>
    <font>
      <name val="Arial"/>
      <b val="1"/>
      <color rgb="000000FF"/>
      <sz val="12"/>
    </font>
    <font>
      <name val="Arial"/>
      <color rgb="00999999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color rgb="00008000"/>
      <sz val="10"/>
    </font>
    <font>
      <name val="Arial"/>
      <b val="1"/>
      <color rgb="007C2F3C"/>
      <sz val="12"/>
    </font>
    <font>
      <name val="Arial"/>
      <color theme="1"/>
      <sz val="11"/>
    </font>
  </fonts>
  <fills count="6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56663A"/>
      </patternFill>
    </fill>
    <fill>
      <patternFill patternType="solid">
        <fgColor rgb="00EEF0EA"/>
      </patternFill>
    </fill>
    <fill>
      <patternFill patternType="solid">
        <fgColor rgb="00F7F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10" fillId="0" borderId="0" applyAlignment="1" pivotButton="0" quotePrefix="0" xfId="0">
      <alignment wrapText="1"/>
    </xf>
    <xf numFmtId="0" fontId="1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0" fontId="3" fillId="0" borderId="0" pivotButton="0" quotePrefix="0" xfId="0"/>
    <xf numFmtId="0" fontId="10" fillId="5" borderId="0" pivotButton="0" quotePrefix="0" xfId="0"/>
    <xf numFmtId="165" fontId="3" fillId="0" borderId="0" pivotButton="0" quotePrefix="0" xfId="0"/>
    <xf numFmtId="165" fontId="10" fillId="0" borderId="0" pivotButton="0" quotePrefix="0" xfId="0"/>
    <xf numFmtId="166" fontId="3" fillId="0" borderId="0" pivotButton="0" quotePrefix="0" xfId="0"/>
    <xf numFmtId="2" fontId="3" fillId="0" borderId="0" pivotButton="0" quotePrefix="0" xfId="0"/>
    <xf numFmtId="167" fontId="3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66" fontId="10" fillId="0" borderId="0" pivotButton="0" quotePrefix="0" xfId="0"/>
    <xf numFmtId="164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3" fillId="4" borderId="0" pivotButton="0" quotePrefix="0" xfId="0"/>
    <xf numFmtId="0" fontId="10" fillId="4" borderId="0" pivotButton="0" quotePrefix="0" xfId="0"/>
    <xf numFmtId="164" fontId="7" fillId="0" borderId="0" pivotButton="0" quotePrefix="0" xfId="0"/>
    <xf numFmtId="165" fontId="7" fillId="0" borderId="0" pivotButton="0" quotePrefix="0" xfId="0"/>
    <xf numFmtId="165" fontId="3" fillId="2" borderId="0" pivotButton="0" quotePrefix="0" xfId="0"/>
    <xf numFmtId="166" fontId="7" fillId="0" borderId="0" pivotButton="0" quotePrefix="0" xfId="0"/>
    <xf numFmtId="166" fontId="3" fillId="2" borderId="0" pivotButton="0" quotePrefix="0" xfId="0"/>
    <xf numFmtId="164" fontId="3" fillId="2" borderId="0" pivotButton="0" quotePrefix="0" xfId="0"/>
    <xf numFmtId="165" fontId="8" fillId="0" borderId="0" pivotButton="0" quotePrefix="0" xfId="0"/>
    <xf numFmtId="164" fontId="10" fillId="0" borderId="0" pivotButton="0" quotePrefix="0" xfId="0"/>
    <xf numFmtId="164" fontId="8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7" fillId="2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DE3CF"/>
        </patternFill>
      </fill>
    </dxf>
    <dxf>
      <fill>
        <patternFill patternType="solid">
          <fgColor rgb="00F0DD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Balance consolidado acumulado</a:t>
            </a:r>
          </a:p>
        </rich>
      </tx>
    </title>
    <plotArea>
      <lineChart>
        <grouping val="standard"/>
        <ser>
          <idx val="0"/>
          <order val="0"/>
          <tx>
            <strRef>
              <f>'Tarjeta financiera'!E3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'Tarjeta financiera'!$D$4:$D$14</f>
            </numRef>
          </cat>
          <val>
            <numRef>
              <f>'Tarjeta financiera'!$E$4:$E$14</f>
            </numRef>
          </val>
        </ser>
        <ser>
          <idx val="1"/>
          <order val="1"/>
          <tx>
            <strRef>
              <f>'Tarjeta financiera'!F3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'Tarjeta financiera'!$D$4:$D$14</f>
            </numRef>
          </cat>
          <val>
            <numRef>
              <f>'Tarjeta financiera'!$F$4:$F$14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16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Villas Huimilpan — Corrida financiera maestra v2</t>
        </is>
      </c>
    </row>
    <row r="2">
      <c r="A2" s="2" t="inlineStr">
        <is>
          <t>Fecha: 23-sep-2026 · GEMCORP · Método del curso (Tarjeta financiera, TREMA sumada, R = Ingresos/Egresos, TIR, VAN, punto de retorno) + libro Finanzas Inmobiliarias (paramétricos Premium) + depreciación e ISR.</t>
        </is>
      </c>
    </row>
    <row r="3">
      <c r="A3" s="3" t="inlineStr">
        <is>
          <t>CÓMO USARLO</t>
        </is>
      </c>
    </row>
    <row r="4">
      <c r="A4" s="4" t="inlineStr">
        <is>
          <t>1. Elige el caso en Supuestos!D3 (Conservador / Base / Éxito). Todo el libro se recalcula con ese caso.</t>
        </is>
      </c>
    </row>
    <row r="5">
      <c r="A5" s="4" t="inlineStr">
        <is>
          <t>2. Solo se editan celdas AZULES. Negro = fórmula. Verde = liga a otra hoja. Amarillo = supuesto clave que falta validar (tiene 'lo debe dar').</t>
        </is>
      </c>
    </row>
    <row r="6">
      <c r="A6" s="4" t="inlineStr">
        <is>
          <t>3. La hoja 'Resumen 3 casos' calcula los tres casos lado a lado sin cambiar el selector (sin tiempos; el flujo y la TIR son del caso activo).</t>
        </is>
      </c>
    </row>
    <row r="7">
      <c r="A7" s="4" t="inlineStr">
        <is>
          <t>4. 'Datos web' es la tabla que consume el sitio villashuimilpan.gemcorpmx.com (precios visibles por ley: LFPC art. 7 BIS / NOM-247).</t>
        </is>
      </c>
    </row>
    <row r="8">
      <c r="A8" s="3" t="inlineStr">
        <is>
          <t>ESTRUCTURA (orden del curso)</t>
        </is>
      </c>
    </row>
    <row r="9">
      <c r="A9" s="4" t="inlineStr">
        <is>
          <t>Tarjeta financiera · Supuestos · Programa · Ingresos · Presupuesto de obra · Egresos · Borgo M15 · Balance · Resumen 3 casos · Sensibilidad · Datos web · Conceptos · Pendientes</t>
        </is>
      </c>
    </row>
    <row r="10">
      <c r="A10" s="3" t="inlineStr">
        <is>
          <t>DOS NEGOCIOS, UNA CORRIDA</t>
        </is>
      </c>
    </row>
    <row r="11">
      <c r="A11" s="4" t="inlineStr">
        <is>
          <t>A) Villas (M9–M11 + calle): se venden. Horizonte Año 0–5. B) Borgo M15 (restaurante, tienda, fuego, pádel): se queda y opera/renta; Año 0–10 con depreciación y valor residual. El Balance consolida A+B.</t>
        </is>
      </c>
    </row>
    <row r="12">
      <c r="A12" s="4" t="inlineStr">
        <is>
          <t>La constructora del grupo construye a COSTO. Su margen (factor de sobrecosto) se muestra aparte como 'valor que captura el grupo', no dentro del proyecto.</t>
        </is>
      </c>
    </row>
    <row r="13">
      <c r="A13" s="3" t="inlineStr">
        <is>
          <t>REGLA DE LA CASA</t>
        </is>
      </c>
    </row>
    <row r="14">
      <c r="A14" s="4" t="inlineStr">
        <is>
          <t>Un hueco declarado vale más que un dato inventado: cada supuesto sin fuente dice quién lo debe dar. Nada aquí autoriza gasto: lo autoriza el Ing. Filogonio Cruz.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4" customWidth="1" min="3" max="3"/>
    <col width="12" customWidth="1" min="4" max="4"/>
    <col width="20" customWidth="1" min="5" max="5"/>
    <col width="12" customWidth="1" min="6" max="6"/>
  </cols>
  <sheetData>
    <row r="1">
      <c r="A1" s="5" t="inlineStr">
        <is>
          <t>TARJETA FINANCIERA — Villas Huimilpan</t>
        </is>
      </c>
      <c r="B1" s="6" t="n"/>
      <c r="C1" s="6" t="n"/>
      <c r="D1" s="6" t="n"/>
      <c r="E1" s="6" t="n"/>
      <c r="F1" s="6" t="n"/>
    </row>
    <row r="2">
      <c r="A2" s="7">
        <f>"Caso activo: "&amp;Supuestos!D3</f>
        <v/>
      </c>
      <c r="B2" s="6" t="n"/>
      <c r="C2" s="6" t="n"/>
      <c r="D2" s="6" t="n"/>
      <c r="E2" s="6" t="n"/>
      <c r="F2" s="6" t="n"/>
    </row>
    <row r="3">
      <c r="A3" s="6" t="n"/>
      <c r="B3" s="6" t="n"/>
      <c r="C3" s="6" t="n"/>
      <c r="D3" s="8" t="inlineStr">
        <is>
          <t>Periodo</t>
        </is>
      </c>
      <c r="E3" s="8" t="inlineStr">
        <is>
          <t>Balance acumulado</t>
        </is>
      </c>
      <c r="F3" s="8" t="inlineStr">
        <is>
          <t>Línea 0</t>
        </is>
      </c>
    </row>
    <row r="4">
      <c r="A4" s="9" t="inlineStr">
        <is>
          <t>INVERSIÓN villas (egresos antes de ISR)</t>
        </is>
      </c>
      <c r="B4" s="10">
        <f>Egresos!I15</f>
        <v/>
      </c>
      <c r="C4" s="6" t="n"/>
      <c r="D4" s="6" t="n">
        <v>0</v>
      </c>
      <c r="E4" s="11">
        <f>Balance!C11</f>
        <v/>
      </c>
      <c r="F4" s="6" t="n">
        <v>0</v>
      </c>
    </row>
    <row r="5">
      <c r="A5" s="9" t="inlineStr">
        <is>
          <t>INVERSIÓN borgo M15</t>
        </is>
      </c>
      <c r="B5" s="10">
        <f>'Borgo M15'!N11</f>
        <v/>
      </c>
      <c r="C5" s="6" t="n"/>
      <c r="D5" s="6" t="n">
        <v>1</v>
      </c>
      <c r="E5" s="11">
        <f>Balance!D11</f>
        <v/>
      </c>
      <c r="F5" s="6" t="n">
        <v>0</v>
      </c>
    </row>
    <row r="6">
      <c r="A6" s="9" t="inlineStr">
        <is>
          <t>MONTO A FINANCIAR (capital máx. expuesto villas)</t>
        </is>
      </c>
      <c r="B6" s="10">
        <f>Balance!B20</f>
        <v/>
      </c>
      <c r="C6" s="6" t="n"/>
      <c r="D6" s="6" t="n">
        <v>2</v>
      </c>
      <c r="E6" s="11">
        <f>Balance!E11</f>
        <v/>
      </c>
      <c r="F6" s="6" t="n">
        <v>0</v>
      </c>
    </row>
    <row r="7">
      <c r="A7" s="9" t="inlineStr">
        <is>
          <t>TREMA</t>
        </is>
      </c>
      <c r="B7" s="12">
        <f>Balance!B14</f>
        <v/>
      </c>
      <c r="C7" s="6" t="n"/>
      <c r="D7" s="6" t="n">
        <v>3</v>
      </c>
      <c r="E7" s="11">
        <f>Balance!F11</f>
        <v/>
      </c>
      <c r="F7" s="6" t="n">
        <v>0</v>
      </c>
    </row>
    <row r="8">
      <c r="A8" s="9" t="inlineStr">
        <is>
          <t>INGRESOS villas</t>
        </is>
      </c>
      <c r="B8" s="10">
        <f>Ingresos!I11</f>
        <v/>
      </c>
      <c r="C8" s="6" t="n"/>
      <c r="D8" s="6" t="n">
        <v>4</v>
      </c>
      <c r="E8" s="11">
        <f>Balance!G11</f>
        <v/>
      </c>
      <c r="F8" s="6" t="n">
        <v>0</v>
      </c>
    </row>
    <row r="9">
      <c r="A9" s="9" t="inlineStr">
        <is>
          <t>UTILIDAD villas después de ISR</t>
        </is>
      </c>
      <c r="B9" s="10">
        <f>Balance!B18</f>
        <v/>
      </c>
      <c r="C9" s="6" t="n"/>
      <c r="D9" s="6" t="n">
        <v>5</v>
      </c>
      <c r="E9" s="11">
        <f>Balance!H11</f>
        <v/>
      </c>
      <c r="F9" s="6" t="n">
        <v>0</v>
      </c>
    </row>
    <row r="10">
      <c r="A10" s="9" t="inlineStr">
        <is>
          <t>RENTABILIDAD (margen)</t>
        </is>
      </c>
      <c r="B10" s="12">
        <f>Balance!B19</f>
        <v/>
      </c>
      <c r="C10" s="6" t="n"/>
      <c r="D10" s="6" t="n">
        <v>6</v>
      </c>
      <c r="E10" s="11">
        <f>Balance!I11</f>
        <v/>
      </c>
      <c r="F10" s="6" t="n">
        <v>0</v>
      </c>
    </row>
    <row r="11">
      <c r="A11" s="9" t="inlineStr">
        <is>
          <t>R = Ingresos / Egresos</t>
        </is>
      </c>
      <c r="B11" s="13">
        <f>Balance!B17</f>
        <v/>
      </c>
      <c r="C11" s="6" t="n"/>
      <c r="D11" s="6" t="n">
        <v>7</v>
      </c>
      <c r="E11" s="11">
        <f>Balance!J11</f>
        <v/>
      </c>
      <c r="F11" s="6" t="n">
        <v>0</v>
      </c>
    </row>
    <row r="12">
      <c r="A12" s="9" t="inlineStr">
        <is>
          <t>TIR villas</t>
        </is>
      </c>
      <c r="B12" s="12">
        <f>Balance!B15</f>
        <v/>
      </c>
      <c r="C12" s="6" t="n"/>
      <c r="D12" s="6" t="n">
        <v>8</v>
      </c>
      <c r="E12" s="11">
        <f>Balance!K11</f>
        <v/>
      </c>
      <c r="F12" s="6" t="n">
        <v>0</v>
      </c>
    </row>
    <row r="13">
      <c r="A13" s="9" t="inlineStr">
        <is>
          <t>VAN villas</t>
        </is>
      </c>
      <c r="B13" s="10">
        <f>Balance!B16</f>
        <v/>
      </c>
      <c r="C13" s="6" t="n"/>
      <c r="D13" s="6" t="n">
        <v>9</v>
      </c>
      <c r="E13" s="11">
        <f>Balance!L11</f>
        <v/>
      </c>
      <c r="F13" s="6" t="n">
        <v>0</v>
      </c>
    </row>
    <row r="14">
      <c r="A14" s="9" t="inlineStr">
        <is>
          <t>PUNTO DE RETORNO (años)</t>
        </is>
      </c>
      <c r="B14" s="14">
        <f>Balance!B21</f>
        <v/>
      </c>
      <c r="C14" s="6" t="n"/>
      <c r="D14" s="6" t="n">
        <v>10</v>
      </c>
      <c r="E14" s="11">
        <f>Balance!M11</f>
        <v/>
      </c>
      <c r="F14" s="6" t="n">
        <v>0</v>
      </c>
    </row>
    <row r="15">
      <c r="A15" s="9" t="inlineStr">
        <is>
          <t>TIR borgo M15 (10 años)</t>
        </is>
      </c>
      <c r="B15" s="12">
        <f>'Borgo M15'!B24</f>
        <v/>
      </c>
      <c r="C15" s="6" t="n"/>
      <c r="D15" s="6" t="n"/>
      <c r="E15" s="6" t="n"/>
      <c r="F15" s="6" t="n"/>
    </row>
    <row r="16">
      <c r="A16" s="9" t="inlineStr">
        <is>
          <t>TIR consolidada</t>
        </is>
      </c>
      <c r="B16" s="12">
        <f>Balance!B22</f>
        <v/>
      </c>
      <c r="C16" s="6" t="n"/>
      <c r="D16" s="6" t="n"/>
      <c r="E16" s="6" t="n"/>
      <c r="F16" s="6" t="n"/>
    </row>
    <row r="17">
      <c r="A17" s="9" t="inlineStr">
        <is>
          <t>Valor que captura el grupo (constructora a costo)</t>
        </is>
      </c>
      <c r="B17" s="10">
        <f>Balance!B24</f>
        <v/>
      </c>
      <c r="C17" s="6" t="n"/>
      <c r="D17" s="6" t="n"/>
      <c r="E17" s="6" t="n"/>
      <c r="F17" s="6" t="n"/>
    </row>
    <row r="18">
      <c r="A18" s="9" t="inlineStr">
        <is>
          <t>Ticket promedio de lista</t>
        </is>
      </c>
      <c r="B18" s="10">
        <f>Programa!F15</f>
        <v/>
      </c>
      <c r="C18" s="6" t="n"/>
      <c r="D18" s="6" t="n"/>
      <c r="E18" s="6" t="n"/>
      <c r="F18" s="6" t="n"/>
    </row>
    <row r="19">
      <c r="A19" s="9" t="inlineStr">
        <is>
          <t>Precio promedio $/m²</t>
        </is>
      </c>
      <c r="B19" s="10">
        <f>Programa!F16</f>
        <v/>
      </c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1">
      <c r="A21" s="8" t="inlineStr">
        <is>
          <t>Lectura</t>
        </is>
      </c>
      <c r="B21" s="6" t="n"/>
      <c r="C21" s="6" t="n"/>
      <c r="D21" s="6" t="n"/>
      <c r="E21" s="6" t="n"/>
      <c r="F21" s="6" t="n"/>
    </row>
    <row r="22">
      <c r="A22" s="4">
        <f>IF(ISNUMBER(Balance!B15),IF(Balance!B15&gt;=Balance!B14,"La TIR de villas supera la TREMA: el caso activo se sostiene.","La TIR de villas no alcanza la TREMA: revisar precio, costo o m² vendibles."),"El flujo de villas no se recupera en el caso activo.")</f>
        <v/>
      </c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  <row r="24">
      <c r="A24" s="6" t="n"/>
      <c r="B24" s="6" t="n"/>
      <c r="C24" s="6" t="n"/>
      <c r="D24" s="6" t="n"/>
      <c r="E24" s="6" t="n"/>
      <c r="F24" s="6" t="n"/>
    </row>
  </sheetData>
  <mergeCells count="1">
    <mergeCell ref="A22:B24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52" customWidth="1" min="1" max="1"/>
    <col width="17" customWidth="1" min="2" max="2"/>
    <col width="17" customWidth="1" min="3" max="3"/>
    <col width="17" customWidth="1" min="4" max="4"/>
    <col width="40" customWidth="1" min="5" max="5"/>
  </cols>
  <sheetData>
    <row r="1">
      <c r="A1" s="5" t="inlineStr">
        <is>
          <t>Resumen de los tres casos — villas, sin tiempos (utilidad antes de ISR)</t>
        </is>
      </c>
      <c r="B1" s="6" t="n"/>
      <c r="C1" s="6" t="n"/>
      <c r="D1" s="6" t="n"/>
      <c r="E1" s="6" t="n"/>
    </row>
    <row r="2">
      <c r="A2" s="6" t="n"/>
      <c r="B2" s="6" t="n"/>
      <c r="C2" s="6" t="n"/>
      <c r="D2" s="6" t="n"/>
      <c r="E2" s="6" t="n"/>
    </row>
    <row r="3">
      <c r="A3" s="15" t="inlineStr">
        <is>
          <t>Concepto</t>
        </is>
      </c>
      <c r="B3" s="15" t="inlineStr">
        <is>
          <t>Conservador</t>
        </is>
      </c>
      <c r="C3" s="15" t="inlineStr">
        <is>
          <t>Base</t>
        </is>
      </c>
      <c r="D3" s="15" t="inlineStr">
        <is>
          <t>Éxito</t>
        </is>
      </c>
      <c r="E3" s="15" t="inlineStr">
        <is>
          <t>Nota</t>
        </is>
      </c>
    </row>
    <row r="4">
      <c r="A4" s="6" t="inlineStr">
        <is>
          <t>Ingreso de lista</t>
        </is>
      </c>
      <c r="B4" s="11">
        <f>SUMIF(Programa!$B$4:$B$13,"Torre",Programa!$D$4:$D$13)*Supuestos!$C$11+SUMIF(Programa!$B$4:$B$13,"Casale",Programa!$D$4:$D$13)*Supuestos!$C$12+SUMIF(Programa!$B$4:$B$13,"Cascina",Programa!$D$4:$D$13)*Supuestos!$C$13</f>
        <v/>
      </c>
      <c r="C4" s="11">
        <f>SUMIF(Programa!$B$4:$B$13,"Torre",Programa!$D$4:$D$13)*Supuestos!$D$11+SUMIF(Programa!$B$4:$B$13,"Casale",Programa!$D$4:$D$13)*Supuestos!$D$12+SUMIF(Programa!$B$4:$B$13,"Cascina",Programa!$D$4:$D$13)*Supuestos!$D$13</f>
        <v/>
      </c>
      <c r="D4" s="11">
        <f>SUMIF(Programa!$B$4:$B$13,"Torre",Programa!$D$4:$D$13)*Supuestos!$E$11+SUMIF(Programa!$B$4:$B$13,"Casale",Programa!$D$4:$D$13)*Supuestos!$E$12+SUMIF(Programa!$B$4:$B$13,"Cascina",Programa!$D$4:$D$13)*Supuestos!$E$13</f>
        <v/>
      </c>
      <c r="E4" s="6" t="inlineStr">
        <is>
          <t>m² por tipología desde la hoja Programa (ajustado v3)</t>
        </is>
      </c>
    </row>
    <row r="5">
      <c r="A5" s="6" t="inlineStr">
        <is>
          <t>Ingreso neto (descuento de preventa en ventas del Año 2)</t>
        </is>
      </c>
      <c r="B5" s="11">
        <f>B4*(1-Supuestos!$C$15*Supuestos!$C$17/10)</f>
        <v/>
      </c>
      <c r="C5" s="11">
        <f>C4*(1-Supuestos!$D$15*Supuestos!$D$17/10)</f>
        <v/>
      </c>
      <c r="D5" s="11">
        <f>D4*(1-Supuestos!$E$15*Supuestos!$E$17/10)</f>
        <v/>
      </c>
      <c r="E5" s="6" t="n"/>
    </row>
    <row r="6">
      <c r="A6" s="6" t="inlineStr">
        <is>
          <t>Terreno villas + calle (permuta)</t>
        </is>
      </c>
      <c r="B6" s="11">
        <f>Supuestos!$C$9*(Supuestos!$C$7-Supuestos!$C$8)</f>
        <v/>
      </c>
      <c r="C6" s="11">
        <f>Supuestos!$D$9*(Supuestos!$D$7-Supuestos!$D$8)</f>
        <v/>
      </c>
      <c r="D6" s="11">
        <f>Supuestos!$E$9*(Supuestos!$E$7-Supuestos!$E$8)</f>
        <v/>
      </c>
      <c r="E6" s="6" t="n"/>
    </row>
    <row r="7">
      <c r="A7" s="6" t="inlineStr">
        <is>
          <t>Construcción villas + IVA no acreditable</t>
        </is>
      </c>
      <c r="B7" s="11">
        <f>Programa!$D$14*Supuestos!$C$23*(1+Supuestos!$C$24)</f>
        <v/>
      </c>
      <c r="C7" s="11">
        <f>Programa!$D$14*Supuestos!$D$23*(1+Supuestos!$D$24)</f>
        <v/>
      </c>
      <c r="D7" s="11">
        <f>Programa!$D$14*Supuestos!$E$23*(1+Supuestos!$E$24)</f>
        <v/>
      </c>
      <c r="E7" s="6" t="n"/>
    </row>
    <row r="8">
      <c r="A8" s="6" t="inlineStr">
        <is>
          <t>Urbanización + amenidades + IVA no acreditable</t>
        </is>
      </c>
      <c r="B8" s="11">
        <f>Supuestos!$C$25*(1+Supuestos!$C$24)</f>
        <v/>
      </c>
      <c r="C8" s="11">
        <f>Supuestos!$D$25*(1+Supuestos!$D$24)</f>
        <v/>
      </c>
      <c r="D8" s="11">
        <f>Supuestos!$E$25*(1+Supuestos!$E$24)</f>
        <v/>
      </c>
      <c r="E8" s="6" t="n"/>
    </row>
    <row r="9">
      <c r="A9" s="6" t="inlineStr">
        <is>
          <t>Indirectos (14.5% libro)</t>
        </is>
      </c>
      <c r="B9" s="11">
        <f>B5*SUM(Supuestos!$C$29,Supuestos!$C$30,Supuestos!$C$31,Supuestos!$C$32,Supuestos!$C$33,Supuestos!$C$34,Supuestos!$C$35,Supuestos!$C$36)</f>
        <v/>
      </c>
      <c r="C9" s="11">
        <f>C5*SUM(Supuestos!$D$29,Supuestos!$D$30,Supuestos!$D$31,Supuestos!$D$32,Supuestos!$D$33,Supuestos!$D$34,Supuestos!$D$35,Supuestos!$D$36)</f>
        <v/>
      </c>
      <c r="D9" s="11">
        <f>D5*SUM(Supuestos!$E$29,Supuestos!$E$30,Supuestos!$E$31,Supuestos!$E$32,Supuestos!$E$33,Supuestos!$E$34,Supuestos!$E$35,Supuestos!$E$36)</f>
        <v/>
      </c>
      <c r="E9" s="6" t="n"/>
    </row>
    <row r="10">
      <c r="A10" s="8" t="inlineStr">
        <is>
          <t>Utilidad antes de ISR</t>
        </is>
      </c>
      <c r="B10" s="10">
        <f>B5-SUM(B6:B9)</f>
        <v/>
      </c>
      <c r="C10" s="10">
        <f>C5-SUM(C6:C9)</f>
        <v/>
      </c>
      <c r="D10" s="10">
        <f>D5-SUM(D6:D9)</f>
        <v/>
      </c>
      <c r="E10" s="6" t="n"/>
    </row>
    <row r="11">
      <c r="A11" s="8" t="inlineStr">
        <is>
          <t>Margen</t>
        </is>
      </c>
      <c r="B11" s="12">
        <f>IFERROR(B10/B5,0)</f>
        <v/>
      </c>
      <c r="C11" s="12">
        <f>IFERROR(C10/C5,0)</f>
        <v/>
      </c>
      <c r="D11" s="12">
        <f>IFERROR(D10/D5,0)</f>
        <v/>
      </c>
      <c r="E11" s="6" t="n"/>
    </row>
    <row r="12">
      <c r="A12" s="6" t="inlineStr">
        <is>
          <t>Meta del libro (Premium)</t>
        </is>
      </c>
      <c r="B12" s="16">
        <f>0.205</f>
        <v/>
      </c>
      <c r="C12" s="16">
        <f>0.205</f>
        <v/>
      </c>
      <c r="D12" s="16">
        <f>0.205</f>
        <v/>
      </c>
      <c r="E12" s="6" t="n"/>
    </row>
    <row r="13">
      <c r="A13" s="6" t="inlineStr">
        <is>
          <t>Valor que captura el grupo (constructora a costo)</t>
        </is>
      </c>
      <c r="B13" s="11">
        <f>(Programa!$D$14*Supuestos!$C$23+Supuestos!$C$25)*Supuestos!$C$27*(1+Supuestos!$C$24)</f>
        <v/>
      </c>
      <c r="C13" s="11">
        <f>(Programa!$D$14*Supuestos!$D$23+Supuestos!$D$25)*Supuestos!$D$27*(1+Supuestos!$D$24)</f>
        <v/>
      </c>
      <c r="D13" s="11">
        <f>(Programa!$D$14*Supuestos!$E$23+Supuestos!$E$25)*Supuestos!$E$27*(1+Supuestos!$E$24)</f>
        <v/>
      </c>
      <c r="E13" s="6" t="inlineStr">
        <is>
          <t>Margen que no se paga a un tercero (18% sobre obra)</t>
        </is>
      </c>
    </row>
    <row r="14">
      <c r="A14" s="8" t="inlineStr">
        <is>
          <t>Utilidad del grupo = proyecto + constructora</t>
        </is>
      </c>
      <c r="B14" s="10">
        <f>B10+B13</f>
        <v/>
      </c>
      <c r="C14" s="10">
        <f>C10+C13</f>
        <v/>
      </c>
      <c r="D14" s="10">
        <f>D10+D13</f>
        <v/>
      </c>
      <c r="E14" s="6" t="n"/>
    </row>
    <row r="15">
      <c r="A15" s="6" t="n"/>
      <c r="B15" s="6" t="n"/>
      <c r="C15" s="6" t="n"/>
      <c r="D15" s="6" t="n"/>
      <c r="E15" s="6" t="n"/>
    </row>
    <row r="16">
      <c r="A16" s="8" t="inlineStr">
        <is>
          <t>QUÉ HACE FALTA PARA LLEGAR A LA META (20.5%)</t>
        </is>
      </c>
      <c r="B16" s="6" t="n"/>
      <c r="C16" s="6" t="n"/>
      <c r="D16" s="6" t="n"/>
      <c r="E16" s="6" t="n"/>
    </row>
    <row r="17">
      <c r="A17" s="6" t="inlineStr">
        <is>
          <t>Precio promedio de lista necesario $/m² (a los m² del Programa)</t>
        </is>
      </c>
      <c r="B17" s="10">
        <f>((Supuestos!$C$9*(Supuestos!$C$7-Supuestos!$C$8)+Supuestos!$C$25*(1+Supuestos!$C$24))+Programa!$D$14*Supuestos!$C$23*(1+Supuestos!$C$24))/(Programa!$D$14*(1-Supuestos!$C$15*Supuestos!$C$17/10)*(1-SUM(Supuestos!$C$29,Supuestos!$C$30,Supuestos!$C$31,Supuestos!$C$32,Supuestos!$C$33,Supuestos!$C$34,Supuestos!$C$35,Supuestos!$C$36)-0.205))</f>
        <v/>
      </c>
      <c r="C17" s="10">
        <f>((Supuestos!$D$9*(Supuestos!$D$7-Supuestos!$D$8)+Supuestos!$D$25*(1+Supuestos!$D$24))+Programa!$D$14*Supuestos!$D$23*(1+Supuestos!$D$24))/(Programa!$D$14*(1-Supuestos!$D$15*Supuestos!$D$17/10)*(1-SUM(Supuestos!$D$29,Supuestos!$D$30,Supuestos!$D$31,Supuestos!$D$32,Supuestos!$D$33,Supuestos!$D$34,Supuestos!$D$35,Supuestos!$D$36)-0.205))</f>
        <v/>
      </c>
      <c r="D17" s="10">
        <f>((Supuestos!$E$9*(Supuestos!$E$7-Supuestos!$E$8)+Supuestos!$E$25*(1+Supuestos!$E$24))+Programa!$D$14*Supuestos!$E$23*(1+Supuestos!$E$24))/(Programa!$D$14*(1-Supuestos!$E$15*Supuestos!$E$17/10)*(1-SUM(Supuestos!$E$29,Supuestos!$E$30,Supuestos!$E$31,Supuestos!$E$32,Supuestos!$E$33,Supuestos!$E$34,Supuestos!$E$35,Supuestos!$E$36)-0.205))</f>
        <v/>
      </c>
      <c r="E17" s="6" t="n"/>
    </row>
    <row r="18">
      <c r="A18" s="6" t="inlineStr">
        <is>
          <t>m² vendibles necesarios al precio del caso</t>
        </is>
      </c>
      <c r="B18" s="17">
        <f>IFERROR(IF((B4/Programa!$D$14)*(1-Supuestos!$C$15*Supuestos!$C$17/10)*(1-SUM(Supuestos!$C$29,Supuestos!$C$30,Supuestos!$C$31,Supuestos!$C$32,Supuestos!$C$33,Supuestos!$C$34,Supuestos!$C$35,Supuestos!$C$36)-0.205)-Supuestos!$C$23*(1+Supuestos!$C$24)&lt;=0,"no alcanza",(Supuestos!$C$9*(Supuestos!$C$7-Supuestos!$C$8)+Supuestos!$C$25*(1+Supuestos!$C$24))/((B4/Programa!$D$14)*(1-Supuestos!$C$15*Supuestos!$C$17/10)*(1-SUM(Supuestos!$C$29,Supuestos!$C$30,Supuestos!$C$31,Supuestos!$C$32,Supuestos!$C$33,Supuestos!$C$34,Supuestos!$C$35,Supuestos!$C$36)-0.205)-Supuestos!$C$23*(1+Supuestos!$C$24))),"no alcanza")</f>
        <v/>
      </c>
      <c r="C18" s="17">
        <f>IFERROR(IF((C4/Programa!$D$14)*(1-Supuestos!$D$15*Supuestos!$D$17/10)*(1-SUM(Supuestos!$D$29,Supuestos!$D$30,Supuestos!$D$31,Supuestos!$D$32,Supuestos!$D$33,Supuestos!$D$34,Supuestos!$D$35,Supuestos!$D$36)-0.205)-Supuestos!$D$23*(1+Supuestos!$D$24)&lt;=0,"no alcanza",(Supuestos!$D$9*(Supuestos!$D$7-Supuestos!$D$8)+Supuestos!$D$25*(1+Supuestos!$D$24))/((C4/Programa!$D$14)*(1-Supuestos!$D$15*Supuestos!$D$17/10)*(1-SUM(Supuestos!$D$29,Supuestos!$D$30,Supuestos!$D$31,Supuestos!$D$32,Supuestos!$D$33,Supuestos!$D$34,Supuestos!$D$35,Supuestos!$D$36)-0.205)-Supuestos!$D$23*(1+Supuestos!$D$24))),"no alcanza")</f>
        <v/>
      </c>
      <c r="D18" s="17">
        <f>IFERROR(IF((D4/Programa!$D$14)*(1-Supuestos!$E$15*Supuestos!$E$17/10)*(1-SUM(Supuestos!$E$29,Supuestos!$E$30,Supuestos!$E$31,Supuestos!$E$32,Supuestos!$E$33,Supuestos!$E$34,Supuestos!$E$35,Supuestos!$E$36)-0.205)-Supuestos!$E$23*(1+Supuestos!$E$24)&lt;=0,"no alcanza",(Supuestos!$E$9*(Supuestos!$E$7-Supuestos!$E$8)+Supuestos!$E$25*(1+Supuestos!$E$24))/((D4/Programa!$D$14)*(1-Supuestos!$E$15*Supuestos!$E$17/10)*(1-SUM(Supuestos!$E$29,Supuestos!$E$30,Supuestos!$E$31,Supuestos!$E$32,Supuestos!$E$33,Supuestos!$E$34,Supuestos!$E$35,Supuestos!$E$36)-0.205)-Supuestos!$E$23*(1+Supuestos!$E$24))),"no alcanza")</f>
        <v/>
      </c>
      <c r="E18" s="6" t="inlineStr">
        <is>
          <t>Programa v3: 3,080 m² (v2 tenía 2,320)</t>
        </is>
      </c>
    </row>
    <row r="19">
      <c r="A19" s="6" t="inlineStr">
        <is>
          <t>Aprovechamiento resultante (m² vendibles / zona villas)</t>
        </is>
      </c>
      <c r="B19" s="12">
        <f>IFERROR(B18/(Supuestos!$C$7-Supuestos!$C$8),"—")</f>
        <v/>
      </c>
      <c r="C19" s="12">
        <f>IFERROR(C18/(Supuestos!$D$7-Supuestos!$D$8),"—")</f>
        <v/>
      </c>
      <c r="D19" s="12">
        <f>IFERROR(D18/(Supuestos!$E$7-Supuestos!$E$8),"—")</f>
        <v/>
      </c>
      <c r="E19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58" customWidth="1" min="2" max="2"/>
    <col width="15" customWidth="1" min="3" max="3"/>
    <col width="15" customWidth="1" min="4" max="4"/>
    <col width="15" customWidth="1" min="5" max="5"/>
    <col width="16" customWidth="1" min="6" max="6"/>
    <col width="12" customWidth="1" min="7" max="7"/>
    <col width="70" customWidth="1" min="8" max="8"/>
  </cols>
  <sheetData>
    <row r="1">
      <c r="A1" s="6" t="n"/>
      <c r="B1" s="5" t="inlineStr">
        <is>
          <t>Supuestos — SUPUESTO | VALOR por caso | FUENTE / NOTA</t>
        </is>
      </c>
      <c r="C1" s="6" t="n"/>
      <c r="D1" s="6" t="n"/>
      <c r="E1" s="6" t="n"/>
      <c r="F1" s="6" t="n"/>
      <c r="G1" s="6" t="n"/>
      <c r="H1" s="6" t="n"/>
    </row>
    <row r="2">
      <c r="A2" s="6" t="n"/>
      <c r="B2" s="6" t="n"/>
      <c r="C2" s="6" t="n"/>
      <c r="D2" s="6" t="n"/>
      <c r="E2" s="6" t="n"/>
      <c r="F2" s="6" t="n"/>
      <c r="G2" s="6" t="n"/>
      <c r="H2" s="6" t="n"/>
    </row>
    <row r="3">
      <c r="A3" s="6" t="n"/>
      <c r="B3" s="8" t="inlineStr">
        <is>
          <t>CASO ACTIVO →</t>
        </is>
      </c>
      <c r="C3" s="6" t="n"/>
      <c r="D3" s="18" t="inlineStr">
        <is>
          <t>Base</t>
        </is>
      </c>
      <c r="E3" s="19">
        <f>MATCH(D3,{"Conservador","Base","Éxito"},0)</f>
        <v/>
      </c>
      <c r="F3" s="6" t="n"/>
      <c r="G3" s="6" t="n"/>
      <c r="H3" s="6" t="n"/>
    </row>
    <row r="4">
      <c r="A4" s="6" t="n"/>
      <c r="B4" s="6" t="n"/>
      <c r="C4" s="6" t="n"/>
      <c r="D4" s="6" t="n"/>
      <c r="E4" s="6" t="n"/>
      <c r="F4" s="6" t="n"/>
      <c r="G4" s="6" t="n"/>
      <c r="H4" s="6" t="n"/>
    </row>
    <row r="5">
      <c r="A5" s="15" t="inlineStr"/>
      <c r="B5" s="15" t="inlineStr">
        <is>
          <t>Supuesto</t>
        </is>
      </c>
      <c r="C5" s="15" t="inlineStr">
        <is>
          <t>Conservador</t>
        </is>
      </c>
      <c r="D5" s="15" t="inlineStr">
        <is>
          <t>Base</t>
        </is>
      </c>
      <c r="E5" s="15" t="inlineStr">
        <is>
          <t>Éxito</t>
        </is>
      </c>
      <c r="F5" s="15" t="inlineStr">
        <is>
          <t>ACTIVO</t>
        </is>
      </c>
      <c r="G5" s="15" t="inlineStr">
        <is>
          <t>Unidad</t>
        </is>
      </c>
      <c r="H5" s="15" t="inlineStr">
        <is>
          <t>Fuente / nota (lo debe dar)</t>
        </is>
      </c>
    </row>
    <row r="6">
      <c r="A6" s="6" t="n"/>
      <c r="B6" s="20" t="inlineStr">
        <is>
          <t>TERRENO Y SUPERFICIES</t>
        </is>
      </c>
      <c r="C6" s="21" t="n"/>
      <c r="D6" s="21" t="n"/>
      <c r="E6" s="21" t="n"/>
      <c r="F6" s="21" t="n"/>
      <c r="G6" s="21" t="n"/>
      <c r="H6" s="21" t="n"/>
    </row>
    <row r="7">
      <c r="A7" s="6" t="n"/>
      <c r="B7" s="6" t="inlineStr">
        <is>
          <t>Área de proyecto</t>
        </is>
      </c>
      <c r="C7" s="22" t="n">
        <v>13966.95</v>
      </c>
      <c r="D7" s="22" t="n">
        <v>13966.95</v>
      </c>
      <c r="E7" s="22" t="n">
        <v>13966.95</v>
      </c>
      <c r="F7" s="17">
        <f>INDEX(C7:E7,$E$3)</f>
        <v/>
      </c>
      <c r="G7" s="6" t="inlineStr">
        <is>
          <t>m²</t>
        </is>
      </c>
      <c r="H7" s="4" t="inlineStr">
        <is>
          <t>Plano PACSCO dic-2025</t>
        </is>
      </c>
    </row>
    <row r="8">
      <c r="A8" s="6" t="n"/>
      <c r="B8" s="6" t="inlineStr">
        <is>
          <t>M15 · puerta y borgo</t>
        </is>
      </c>
      <c r="C8" s="22" t="n">
        <v>2373.082</v>
      </c>
      <c r="D8" s="22" t="n">
        <v>2373.082</v>
      </c>
      <c r="E8" s="22" t="n">
        <v>2373.082</v>
      </c>
      <c r="F8" s="17">
        <f>INDEX(C8:E8,$E$3)</f>
        <v/>
      </c>
      <c r="G8" s="6" t="inlineStr">
        <is>
          <t>m²</t>
        </is>
      </c>
      <c r="H8" s="4" t="inlineStr">
        <is>
          <t>Plano PACSCO</t>
        </is>
      </c>
    </row>
    <row r="9">
      <c r="A9" s="6" t="n"/>
      <c r="B9" s="6" t="inlineStr">
        <is>
          <t>Valor del terreno (permuta / intercambio)</t>
        </is>
      </c>
      <c r="C9" s="23" t="n">
        <v>1900</v>
      </c>
      <c r="D9" s="23" t="n">
        <v>1900</v>
      </c>
      <c r="E9" s="23" t="n">
        <v>1900</v>
      </c>
      <c r="F9" s="24">
        <f>INDEX(C9:E9,$E$3)</f>
        <v/>
      </c>
      <c r="G9" s="6" t="inlineStr">
        <is>
          <t>$/m²</t>
        </is>
      </c>
      <c r="H9" s="4" t="inlineStr">
        <is>
          <t>Ángel, 23-sep-2026: sobre 13,966.95 m². Qué se entregó a cambio y cuándo: lo debe dar Ángel (contrato de intercambio pendiente en Trazo)</t>
        </is>
      </c>
    </row>
    <row r="10">
      <c r="A10" s="6" t="n"/>
      <c r="B10" s="20" t="inlineStr">
        <is>
          <t>VILLAS · PRECIO Y VENTAS</t>
        </is>
      </c>
      <c r="C10" s="21" t="n"/>
      <c r="D10" s="21" t="n"/>
      <c r="E10" s="21" t="n"/>
      <c r="F10" s="21" t="n"/>
      <c r="G10" s="21" t="n"/>
      <c r="H10" s="21" t="n"/>
    </row>
    <row r="11">
      <c r="A11" s="6" t="n"/>
      <c r="B11" s="6" t="inlineStr">
        <is>
          <t>Precio Torre (300 m²)</t>
        </is>
      </c>
      <c r="C11" s="23" t="n">
        <v>35000</v>
      </c>
      <c r="D11" s="23" t="n">
        <v>43500</v>
      </c>
      <c r="E11" s="23" t="n">
        <v>53000</v>
      </c>
      <c r="F11" s="10">
        <f>INDEX(C11:E11,$E$3)</f>
        <v/>
      </c>
      <c r="G11" s="6" t="inlineStr">
        <is>
          <t>$/m²</t>
        </is>
      </c>
      <c r="H11" s="4" t="inlineStr">
        <is>
          <t>10_precios_comparables.md: mediana 12 comparables cercanos × 0.918 / 1.134 / 1.384 con gradiente por tamaño</t>
        </is>
      </c>
    </row>
    <row r="12">
      <c r="A12" s="6" t="n"/>
      <c r="B12" s="6" t="inlineStr">
        <is>
          <t>Precio Casale (240 m²)</t>
        </is>
      </c>
      <c r="C12" s="23" t="n">
        <v>36500</v>
      </c>
      <c r="D12" s="23" t="n">
        <v>45000</v>
      </c>
      <c r="E12" s="23" t="n">
        <v>55000</v>
      </c>
      <c r="F12" s="10">
        <f>INDEX(C12:E12,$E$3)</f>
        <v/>
      </c>
      <c r="G12" s="6" t="inlineStr">
        <is>
          <t>$/m²</t>
        </is>
      </c>
      <c r="H12" s="4" t="inlineStr">
        <is>
          <t>Idem</t>
        </is>
      </c>
    </row>
    <row r="13">
      <c r="A13" s="6" t="n"/>
      <c r="B13" s="6" t="inlineStr">
        <is>
          <t>Precio Cascina (190 m²)</t>
        </is>
      </c>
      <c r="C13" s="23" t="n">
        <v>38000</v>
      </c>
      <c r="D13" s="23" t="n">
        <v>47000</v>
      </c>
      <c r="E13" s="23" t="n">
        <v>57000</v>
      </c>
      <c r="F13" s="10">
        <f>INDEX(C13:E13,$E$3)</f>
        <v/>
      </c>
      <c r="G13" s="6" t="inlineStr">
        <is>
          <t>$/m²</t>
        </is>
      </c>
      <c r="H13" s="4" t="inlineStr">
        <is>
          <t>Idem</t>
        </is>
      </c>
    </row>
    <row r="14">
      <c r="A14" s="6" t="n"/>
      <c r="B14" s="6" t="inlineStr">
        <is>
          <t>Plusvalía anual del precio de lista (Vf = Vp(1+i)^n)</t>
        </is>
      </c>
      <c r="C14" s="25" t="n">
        <v>0.03</v>
      </c>
      <c r="D14" s="25" t="n">
        <v>0.05</v>
      </c>
      <c r="E14" s="25" t="n">
        <v>0.06</v>
      </c>
      <c r="F14" s="12">
        <f>INDEX(C14:E14,$E$3)</f>
        <v/>
      </c>
      <c r="G14" s="6" t="inlineStr">
        <is>
          <t>%</t>
        </is>
      </c>
      <c r="H14" s="4" t="inlineStr">
        <is>
          <t>SHF Qro +6.6% anual 1T-2026 (03_mercado); conservador por debajo</t>
        </is>
      </c>
    </row>
    <row r="15">
      <c r="A15" s="6" t="n"/>
      <c r="B15" s="6" t="inlineStr">
        <is>
          <t>Descuento de preventa (año de lanzamiento)</t>
        </is>
      </c>
      <c r="C15" s="25" t="n">
        <v>0.12</v>
      </c>
      <c r="D15" s="25" t="n">
        <v>0.1</v>
      </c>
      <c r="E15" s="25" t="n">
        <v>0.05</v>
      </c>
      <c r="F15" s="12">
        <f>INDEX(C15:E15,$E$3)</f>
        <v/>
      </c>
      <c r="G15" s="6" t="inlineStr">
        <is>
          <t>%</t>
        </is>
      </c>
      <c r="H15" s="4" t="inlineStr">
        <is>
          <t>La Haus: 10–20% plusvalía preventa→entrega</t>
        </is>
      </c>
    </row>
    <row r="16">
      <c r="A16" s="6" t="n"/>
      <c r="B16" s="6" t="inlineStr">
        <is>
          <t>Enganche (resto contra entrega)</t>
        </is>
      </c>
      <c r="C16" s="25" t="n">
        <v>0.3</v>
      </c>
      <c r="D16" s="25" t="n">
        <v>0.3</v>
      </c>
      <c r="E16" s="25" t="n">
        <v>0.3</v>
      </c>
      <c r="F16" s="12">
        <f>INDEX(C16:E16,$E$3)</f>
        <v/>
      </c>
      <c r="G16" s="6" t="inlineStr">
        <is>
          <t>%</t>
        </is>
      </c>
      <c r="H16" s="4" t="inlineStr">
        <is>
          <t>Esquema de corrida; contra entrega en el año de entrega</t>
        </is>
      </c>
    </row>
    <row r="17">
      <c r="A17" s="6" t="n"/>
      <c r="B17" s="6" t="inlineStr">
        <is>
          <t>Villas vendidas Año 2 (lanzamiento)</t>
        </is>
      </c>
      <c r="C17" s="22" t="n">
        <v>2</v>
      </c>
      <c r="D17" s="22" t="n">
        <v>4</v>
      </c>
      <c r="E17" s="22" t="n">
        <v>5</v>
      </c>
      <c r="F17" s="17">
        <f>INDEX(C17:E17,$E$3)</f>
        <v/>
      </c>
      <c r="G17" s="6" t="inlineStr">
        <is>
          <t>villas</t>
        </is>
      </c>
      <c r="H17" s="4" t="inlineStr">
        <is>
          <t>Absorción 0.3–0.6/mes sin comparables en Huimilpan (03_mercado). Validar con lista de espera</t>
        </is>
      </c>
    </row>
    <row r="18">
      <c r="A18" s="6" t="n"/>
      <c r="B18" s="6" t="inlineStr">
        <is>
          <t>Villas vendidas Año 3</t>
        </is>
      </c>
      <c r="C18" s="22" t="n">
        <v>3</v>
      </c>
      <c r="D18" s="22" t="n">
        <v>4</v>
      </c>
      <c r="E18" s="22" t="n">
        <v>5</v>
      </c>
      <c r="F18" s="17">
        <f>INDEX(C18:E18,$E$3)</f>
        <v/>
      </c>
      <c r="G18" s="6" t="inlineStr">
        <is>
          <t>villas</t>
        </is>
      </c>
      <c r="H18" s="4" t="inlineStr">
        <is>
          <t>Idem</t>
        </is>
      </c>
    </row>
    <row r="19">
      <c r="A19" s="6" t="n"/>
      <c r="B19" s="6" t="inlineStr">
        <is>
          <t>Villas vendidas Año 4</t>
        </is>
      </c>
      <c r="C19" s="22" t="n">
        <v>3</v>
      </c>
      <c r="D19" s="22" t="n">
        <v>2</v>
      </c>
      <c r="E19" s="22" t="n">
        <v>0</v>
      </c>
      <c r="F19" s="17">
        <f>INDEX(C19:E19,$E$3)</f>
        <v/>
      </c>
      <c r="G19" s="6" t="inlineStr">
        <is>
          <t>villas</t>
        </is>
      </c>
      <c r="H19" s="4" t="inlineStr">
        <is>
          <t>Idem</t>
        </is>
      </c>
    </row>
    <row r="20">
      <c r="A20" s="6" t="n"/>
      <c r="B20" s="6" t="inlineStr">
        <is>
          <t>Villas vendidas Año 5</t>
        </is>
      </c>
      <c r="C20" s="22" t="n">
        <v>2</v>
      </c>
      <c r="D20" s="22" t="n">
        <v>0</v>
      </c>
      <c r="E20" s="22" t="n">
        <v>0</v>
      </c>
      <c r="F20" s="17">
        <f>INDEX(C20:E20,$E$3)</f>
        <v/>
      </c>
      <c r="G20" s="6" t="inlineStr">
        <is>
          <t>villas</t>
        </is>
      </c>
      <c r="H20" s="4" t="inlineStr">
        <is>
          <t>Idem · total debe sumar 10</t>
        </is>
      </c>
    </row>
    <row r="21">
      <c r="A21" s="6" t="n"/>
      <c r="B21" s="6" t="inlineStr">
        <is>
          <t>Año de entrega de villas</t>
        </is>
      </c>
      <c r="C21" s="22" t="n">
        <v>3</v>
      </c>
      <c r="D21" s="22" t="n">
        <v>3</v>
      </c>
      <c r="E21" s="22" t="n">
        <v>3</v>
      </c>
      <c r="F21" s="17">
        <f>INDEX(C21:E21,$E$3)</f>
        <v/>
      </c>
      <c r="G21" s="6" t="inlineStr">
        <is>
          <t>año</t>
        </is>
      </c>
      <c r="H21" s="4" t="inlineStr">
        <is>
          <t>Obra de villas Año 2–3</t>
        </is>
      </c>
    </row>
    <row r="22">
      <c r="A22" s="6" t="n"/>
      <c r="B22" s="20" t="inlineStr">
        <is>
          <t>VILLAS · COSTO (constructora del grupo a costo)</t>
        </is>
      </c>
      <c r="C22" s="21" t="n"/>
      <c r="D22" s="21" t="n"/>
      <c r="E22" s="21" t="n"/>
      <c r="F22" s="21" t="n"/>
      <c r="G22" s="21" t="n"/>
      <c r="H22" s="21" t="n"/>
    </row>
    <row r="23">
      <c r="A23" s="6" t="n"/>
      <c r="B23" s="6" t="inlineStr">
        <is>
          <t>Costo de construcción villa (directo + indirecto de campo)</t>
        </is>
      </c>
      <c r="C23" s="23" t="n">
        <v>26000</v>
      </c>
      <c r="D23" s="23" t="n">
        <v>23000</v>
      </c>
      <c r="E23" s="23" t="n">
        <v>22000</v>
      </c>
      <c r="F23" s="24">
        <f>INDEX(C23:E23,$E$3)</f>
        <v/>
      </c>
      <c r="G23" s="6" t="inlineStr">
        <is>
          <t>$/m²</t>
        </is>
      </c>
      <c r="H23" s="4" t="inlineStr">
        <is>
          <t>Meta con constructora propia $22–26k (09_carta). CMIC Qro residencial $20.5k/m² (06_finanzas). Lo debe dar: presupuesto PACSCO/CORDUPSA</t>
        </is>
      </c>
    </row>
    <row r="24">
      <c r="A24" s="6" t="n"/>
      <c r="B24" s="6" t="inlineStr">
        <is>
          <t>IVA no acreditable sobre obra (casa habitación exenta)</t>
        </is>
      </c>
      <c r="C24" s="25" t="n">
        <v>0.096</v>
      </c>
      <c r="D24" s="25" t="n">
        <v>0.096</v>
      </c>
      <c r="E24" s="25" t="n">
        <v>0.096</v>
      </c>
      <c r="F24" s="26">
        <f>INDEX(C24:E24,$E$3)</f>
        <v/>
      </c>
      <c r="G24" s="6" t="inlineStr">
        <is>
          <t>%</t>
        </is>
      </c>
      <c r="H24" s="4" t="inlineStr">
        <is>
          <t>Supuesto: 60% materiales × 16%. LIVA art. 9. Lo debe dar: contador (Alma)</t>
        </is>
      </c>
    </row>
    <row r="25">
      <c r="A25" s="6" t="n"/>
      <c r="B25" s="6" t="inlineStr">
        <is>
          <t>Urbanización + amenidades zona villas (senderos, redes, humedal, bosque nativo, sauna/temazcal, paisaje) — sin viñedo ni huerto</t>
        </is>
      </c>
      <c r="C25" s="23" t="n">
        <v>12000000</v>
      </c>
      <c r="D25" s="23" t="n">
        <v>10000000</v>
      </c>
      <c r="E25" s="23" t="n">
        <v>9000000</v>
      </c>
      <c r="F25" s="24">
        <f>INDEX(C25:E25,$E$3)</f>
        <v/>
      </c>
      <c r="G25" s="6" t="inlineStr">
        <is>
          <t>$</t>
        </is>
      </c>
      <c r="H25" s="4" t="inlineStr">
        <is>
          <t>Supuestos no verificados (06_finanzas, 12_sustentable). Lo debe dar: presupuesto Emiliano + constructora</t>
        </is>
      </c>
    </row>
    <row r="26">
      <c r="A26" s="6" t="n"/>
      <c r="B26" s="6" t="inlineStr">
        <is>
          <t>Inflación de obra anual</t>
        </is>
      </c>
      <c r="C26" s="25" t="n">
        <v>0.0585</v>
      </c>
      <c r="D26" s="25" t="n">
        <v>0.0585</v>
      </c>
      <c r="E26" s="25" t="n">
        <v>0.0585</v>
      </c>
      <c r="F26" s="12">
        <f>INDEX(C26:E26,$E$3)</f>
        <v/>
      </c>
      <c r="G26" s="6" t="inlineStr">
        <is>
          <t>%</t>
        </is>
      </c>
      <c r="H26" s="4" t="inlineStr">
        <is>
          <t>CMIC CEICO feb-2026, Qro residencial</t>
        </is>
      </c>
    </row>
    <row r="27">
      <c r="A27" s="6" t="n"/>
      <c r="B27" s="6" t="inlineStr">
        <is>
          <t>Factor de sobrecosto de mercado que NO se paga (indirectos + utilidad)</t>
        </is>
      </c>
      <c r="C27" s="25" t="n">
        <v>0.18</v>
      </c>
      <c r="D27" s="25" t="n">
        <v>0.18</v>
      </c>
      <c r="E27" s="25" t="n">
        <v>0.18</v>
      </c>
      <c r="F27" s="12">
        <f>INDEX(C27:E27,$E$3)</f>
        <v/>
      </c>
      <c r="G27" s="6" t="inlineStr">
        <is>
          <t>%</t>
        </is>
      </c>
      <c r="H27" s="4" t="inlineStr">
        <is>
          <t>Supuesto: 10% indirectos oficina + 8% utilidad. Valor que captura el grupo al construir a costo</t>
        </is>
      </c>
    </row>
    <row r="28">
      <c r="A28" s="6" t="n"/>
      <c r="B28" s="20" t="inlineStr">
        <is>
          <t>INDIRECTOS (% del ingreso, libro segmento Premium)</t>
        </is>
      </c>
      <c r="C28" s="21" t="n"/>
      <c r="D28" s="21" t="n"/>
      <c r="E28" s="21" t="n"/>
      <c r="F28" s="21" t="n"/>
      <c r="G28" s="21" t="n"/>
      <c r="H28" s="21" t="n"/>
    </row>
    <row r="29">
      <c r="A29" s="6" t="n"/>
      <c r="B29" s="6" t="inlineStr">
        <is>
          <t>Estudios y proyectos</t>
        </is>
      </c>
      <c r="C29" s="25" t="n">
        <v>0.025</v>
      </c>
      <c r="D29" s="25" t="n">
        <v>0.025</v>
      </c>
      <c r="E29" s="25" t="n">
        <v>0.025</v>
      </c>
      <c r="F29" s="12">
        <f>INDEX(C29:E29,$E$3)</f>
        <v/>
      </c>
      <c r="G29" s="6" t="inlineStr">
        <is>
          <t>%</t>
        </is>
      </c>
      <c r="H29" s="4" t="inlineStr">
        <is>
          <t>Tabla paramétrica Premium</t>
        </is>
      </c>
    </row>
    <row r="30">
      <c r="A30" s="6" t="n"/>
      <c r="B30" s="6" t="inlineStr">
        <is>
          <t>Permisos, licencias e incorporaciones</t>
        </is>
      </c>
      <c r="C30" s="25" t="n">
        <v>0.03</v>
      </c>
      <c r="D30" s="25" t="n">
        <v>0.03</v>
      </c>
      <c r="E30" s="25" t="n">
        <v>0.03</v>
      </c>
      <c r="F30" s="12">
        <f>INDEX(C30:E30,$E$3)</f>
        <v/>
      </c>
      <c r="G30" s="6" t="inlineStr">
        <is>
          <t>%</t>
        </is>
      </c>
      <c r="H30" s="4" t="inlineStr">
        <is>
          <t>Idem</t>
        </is>
      </c>
    </row>
    <row r="31">
      <c r="A31" s="6" t="n"/>
      <c r="B31" s="6" t="inlineStr">
        <is>
          <t>Legales</t>
        </is>
      </c>
      <c r="C31" s="25" t="n">
        <v>0.005</v>
      </c>
      <c r="D31" s="25" t="n">
        <v>0.005</v>
      </c>
      <c r="E31" s="25" t="n">
        <v>0.005</v>
      </c>
      <c r="F31" s="12">
        <f>INDEX(C31:E31,$E$3)</f>
        <v/>
      </c>
      <c r="G31" s="6" t="inlineStr">
        <is>
          <t>%</t>
        </is>
      </c>
      <c r="H31" s="4" t="inlineStr">
        <is>
          <t>Idem</t>
        </is>
      </c>
    </row>
    <row r="32">
      <c r="A32" s="6" t="n"/>
      <c r="B32" s="6" t="inlineStr">
        <is>
          <t>Dirección de obra</t>
        </is>
      </c>
      <c r="C32" s="25" t="n">
        <v>0.02</v>
      </c>
      <c r="D32" s="25" t="n">
        <v>0.02</v>
      </c>
      <c r="E32" s="25" t="n">
        <v>0.02</v>
      </c>
      <c r="F32" s="12">
        <f>INDEX(C32:E32,$E$3)</f>
        <v/>
      </c>
      <c r="G32" s="6" t="inlineStr">
        <is>
          <t>%</t>
        </is>
      </c>
      <c r="H32" s="4" t="inlineStr">
        <is>
          <t>Idem</t>
        </is>
      </c>
    </row>
    <row r="33">
      <c r="A33" s="6" t="n"/>
      <c r="B33" s="6" t="inlineStr">
        <is>
          <t>Comisiones de venta</t>
        </is>
      </c>
      <c r="C33" s="25" t="n">
        <v>0.035</v>
      </c>
      <c r="D33" s="25" t="n">
        <v>0.035</v>
      </c>
      <c r="E33" s="25" t="n">
        <v>0.035</v>
      </c>
      <c r="F33" s="12">
        <f>INDEX(C33:E33,$E$3)</f>
        <v/>
      </c>
      <c r="G33" s="6" t="inlineStr">
        <is>
          <t>%</t>
        </is>
      </c>
      <c r="H33" s="4" t="inlineStr">
        <is>
          <t>Idem</t>
        </is>
      </c>
    </row>
    <row r="34">
      <c r="A34" s="6" t="n"/>
      <c r="B34" s="6" t="inlineStr">
        <is>
          <t>Publicidad y mercadotecnia</t>
        </is>
      </c>
      <c r="C34" s="25" t="n">
        <v>0.01</v>
      </c>
      <c r="D34" s="25" t="n">
        <v>0.01</v>
      </c>
      <c r="E34" s="25" t="n">
        <v>0.01</v>
      </c>
      <c r="F34" s="12">
        <f>INDEX(C34:E34,$E$3)</f>
        <v/>
      </c>
      <c r="G34" s="6" t="inlineStr">
        <is>
          <t>%</t>
        </is>
      </c>
      <c r="H34" s="4" t="inlineStr">
        <is>
          <t>Idem (Esencia Creativa del grupo)</t>
        </is>
      </c>
    </row>
    <row r="35">
      <c r="A35" s="6" t="n"/>
      <c r="B35" s="6" t="inlineStr">
        <is>
          <t>Servicio posventa</t>
        </is>
      </c>
      <c r="C35" s="25" t="n">
        <v>0.005</v>
      </c>
      <c r="D35" s="25" t="n">
        <v>0.005</v>
      </c>
      <c r="E35" s="25" t="n">
        <v>0.005</v>
      </c>
      <c r="F35" s="12">
        <f>INDEX(C35:E35,$E$3)</f>
        <v/>
      </c>
      <c r="G35" s="6" t="inlineStr">
        <is>
          <t>%</t>
        </is>
      </c>
      <c r="H35" s="4" t="inlineStr">
        <is>
          <t>Idem</t>
        </is>
      </c>
    </row>
    <row r="36">
      <c r="A36" s="6" t="n"/>
      <c r="B36" s="6" t="inlineStr">
        <is>
          <t>Administración</t>
        </is>
      </c>
      <c r="C36" s="25" t="n">
        <v>0.015</v>
      </c>
      <c r="D36" s="25" t="n">
        <v>0.015</v>
      </c>
      <c r="E36" s="25" t="n">
        <v>0.015</v>
      </c>
      <c r="F36" s="12">
        <f>INDEX(C36:E36,$E$3)</f>
        <v/>
      </c>
      <c r="G36" s="6" t="inlineStr">
        <is>
          <t>%</t>
        </is>
      </c>
      <c r="H36" s="4" t="inlineStr">
        <is>
          <t>Idem</t>
        </is>
      </c>
    </row>
    <row r="37">
      <c r="A37" s="6" t="n"/>
      <c r="B37" s="20" t="inlineStr">
        <is>
          <t>BORGO M15 (se queda y opera)</t>
        </is>
      </c>
      <c r="C37" s="21" t="n"/>
      <c r="D37" s="21" t="n"/>
      <c r="E37" s="21" t="n"/>
      <c r="F37" s="21" t="n"/>
      <c r="G37" s="21" t="n"/>
      <c r="H37" s="21" t="n"/>
    </row>
    <row r="38">
      <c r="A38" s="6" t="n"/>
      <c r="B38" s="6" t="inlineStr">
        <is>
          <t>Obra fase 1: huerto + invernadero + mesa del huerto + tienda/panadería + plaza del fuego + estacionamiento (sin pádel)</t>
        </is>
      </c>
      <c r="C38" s="23" t="n">
        <v>14500000</v>
      </c>
      <c r="D38" s="23" t="n">
        <v>13500000</v>
      </c>
      <c r="E38" s="23" t="n">
        <v>13500000</v>
      </c>
      <c r="F38" s="24">
        <f>INDEX(C38:E38,$E$3)</f>
        <v/>
      </c>
      <c r="G38" s="6" t="inlineStr">
        <is>
          <t>$</t>
        </is>
      </c>
      <c r="H38" s="4" t="inlineStr">
        <is>
          <t>Supuestos no verificados (hoja Borgo M15 v1: $15.45 M sin cocina)</t>
        </is>
      </c>
    </row>
    <row r="39">
      <c r="A39" s="6" t="n"/>
      <c r="B39" s="6" t="inlineStr">
        <is>
          <t>Cocina y equipamiento</t>
        </is>
      </c>
      <c r="C39" s="23" t="n">
        <v>4000000</v>
      </c>
      <c r="D39" s="23" t="n">
        <v>3500000</v>
      </c>
      <c r="E39" s="23" t="n">
        <v>3500000</v>
      </c>
      <c r="F39" s="10">
        <f>INDEX(C39:E39,$E$3)</f>
        <v/>
      </c>
      <c r="G39" s="6" t="inlineStr">
        <is>
          <t>$</t>
        </is>
      </c>
      <c r="H39" s="4" t="inlineStr">
        <is>
          <t>Supuesto ($3–5 M)</t>
        </is>
      </c>
    </row>
    <row r="40">
      <c r="A40" s="6" t="n"/>
      <c r="B40" s="6" t="inlineStr">
        <is>
          <t>Mobiliario</t>
        </is>
      </c>
      <c r="C40" s="23" t="n">
        <v>1000000</v>
      </c>
      <c r="D40" s="23" t="n">
        <v>1000000</v>
      </c>
      <c r="E40" s="23" t="n">
        <v>1000000</v>
      </c>
      <c r="F40" s="10">
        <f>INDEX(C40:E40,$E$3)</f>
        <v/>
      </c>
      <c r="G40" s="6" t="inlineStr">
        <is>
          <t>$</t>
        </is>
      </c>
      <c r="H40" s="4" t="inlineStr">
        <is>
          <t>Supuesto</t>
        </is>
      </c>
    </row>
    <row r="41">
      <c r="A41" s="6" t="n"/>
      <c r="B41" s="6" t="inlineStr">
        <is>
          <t>Proyecto, permisos y cambio de uso de suelo M15</t>
        </is>
      </c>
      <c r="C41" s="23" t="n">
        <v>1200000</v>
      </c>
      <c r="D41" s="23" t="n">
        <v>1200000</v>
      </c>
      <c r="E41" s="23" t="n">
        <v>1200000</v>
      </c>
      <c r="F41" s="10">
        <f>INDEX(C41:E41,$E$3)</f>
        <v/>
      </c>
      <c r="G41" s="6" t="inlineStr">
        <is>
          <t>$</t>
        </is>
      </c>
      <c r="H41" s="4" t="inlineStr">
        <is>
          <t>Supuesto</t>
        </is>
      </c>
    </row>
    <row r="42">
      <c r="A42" s="6" t="n"/>
      <c r="B42" s="6" t="inlineStr">
        <is>
          <t>Comensales promedio por día (restaurante 40 cubiertos)</t>
        </is>
      </c>
      <c r="C42" s="22" t="n">
        <v>30</v>
      </c>
      <c r="D42" s="22" t="n">
        <v>45</v>
      </c>
      <c r="E42" s="22" t="n">
        <v>60</v>
      </c>
      <c r="F42" s="27">
        <f>INDEX(C42:E42,$E$3)</f>
        <v/>
      </c>
      <c r="G42" s="6" t="inlineStr">
        <is>
          <t>pax/día</t>
        </is>
      </c>
      <c r="H42" s="4" t="inlineStr">
        <is>
          <t>Supuesto; validar con pop-ups de preventa</t>
        </is>
      </c>
    </row>
    <row r="43">
      <c r="A43" s="6" t="n"/>
      <c r="B43" s="6" t="inlineStr">
        <is>
          <t>Ticket promedio restaurante (sin IVA)</t>
        </is>
      </c>
      <c r="C43" s="23" t="n">
        <v>600</v>
      </c>
      <c r="D43" s="23" t="n">
        <v>750</v>
      </c>
      <c r="E43" s="23" t="n">
        <v>900</v>
      </c>
      <c r="F43" s="24">
        <f>INDEX(C43:E43,$E$3)</f>
        <v/>
      </c>
      <c r="G43" s="6" t="inlineStr">
        <is>
          <t>$</t>
        </is>
      </c>
      <c r="H43" s="4" t="inlineStr">
        <is>
          <t>Supuesto no verificado</t>
        </is>
      </c>
    </row>
    <row r="44">
      <c r="A44" s="6" t="n"/>
      <c r="B44" s="6" t="inlineStr">
        <is>
          <t>Días de operación al año</t>
        </is>
      </c>
      <c r="C44" s="22" t="n">
        <v>300</v>
      </c>
      <c r="D44" s="22" t="n">
        <v>330</v>
      </c>
      <c r="E44" s="22" t="n">
        <v>340</v>
      </c>
      <c r="F44" s="17">
        <f>INDEX(C44:E44,$E$3)</f>
        <v/>
      </c>
      <c r="G44" s="6" t="inlineStr">
        <is>
          <t>días</t>
        </is>
      </c>
      <c r="H44" s="4" t="inlineStr">
        <is>
          <t>Supuesto</t>
        </is>
      </c>
    </row>
    <row r="45">
      <c r="A45" s="6" t="n"/>
      <c r="B45" s="6" t="inlineStr">
        <is>
          <t>Margen EBITDA restaurante</t>
        </is>
      </c>
      <c r="C45" s="25" t="n">
        <v>0.12</v>
      </c>
      <c r="D45" s="25" t="n">
        <v>0.18</v>
      </c>
      <c r="E45" s="25" t="n">
        <v>0.22</v>
      </c>
      <c r="F45" s="12">
        <f>INDEX(C45:E45,$E$3)</f>
        <v/>
      </c>
      <c r="G45" s="6" t="inlineStr">
        <is>
          <t>%</t>
        </is>
      </c>
      <c r="H45" s="4" t="inlineStr">
        <is>
          <t>Supuesto (rango de restaurantes de gama alta)</t>
        </is>
      </c>
    </row>
    <row r="46">
      <c r="A46" s="6" t="n"/>
      <c r="B46" s="6" t="inlineStr">
        <is>
          <t>Ventas tienda + eventos + pádel (anual)</t>
        </is>
      </c>
      <c r="C46" s="23" t="n">
        <v>2000000</v>
      </c>
      <c r="D46" s="23" t="n">
        <v>3500000</v>
      </c>
      <c r="E46" s="23" t="n">
        <v>5000000</v>
      </c>
      <c r="F46" s="10">
        <f>INDEX(C46:E46,$E$3)</f>
        <v/>
      </c>
      <c r="G46" s="6" t="inlineStr">
        <is>
          <t>$</t>
        </is>
      </c>
      <c r="H46" s="4" t="inlineStr">
        <is>
          <t>Supuesto</t>
        </is>
      </c>
    </row>
    <row r="47">
      <c r="A47" s="6" t="n"/>
      <c r="B47" s="6" t="inlineStr">
        <is>
          <t>Margen EBITDA tienda/eventos</t>
        </is>
      </c>
      <c r="C47" s="25" t="n">
        <v>0.15</v>
      </c>
      <c r="D47" s="25" t="n">
        <v>0.22</v>
      </c>
      <c r="E47" s="25" t="n">
        <v>0.25</v>
      </c>
      <c r="F47" s="12">
        <f>INDEX(C47:E47,$E$3)</f>
        <v/>
      </c>
      <c r="G47" s="6" t="inlineStr">
        <is>
          <t>%</t>
        </is>
      </c>
      <c r="H47" s="4" t="inlineStr">
        <is>
          <t>Supuesto</t>
        </is>
      </c>
    </row>
    <row r="48">
      <c r="A48" s="6" t="n"/>
      <c r="B48" s="6" t="inlineStr">
        <is>
          <t>Crecimiento anual de ventas del borgo</t>
        </is>
      </c>
      <c r="C48" s="25" t="n">
        <v>0.03</v>
      </c>
      <c r="D48" s="25" t="n">
        <v>0.05</v>
      </c>
      <c r="E48" s="25" t="n">
        <v>0.07000000000000001</v>
      </c>
      <c r="F48" s="12">
        <f>INDEX(C48:E48,$E$3)</f>
        <v/>
      </c>
      <c r="G48" s="6" t="inlineStr">
        <is>
          <t>%</t>
        </is>
      </c>
      <c r="H48" s="4" t="inlineStr">
        <is>
          <t>Supuesto</t>
        </is>
      </c>
    </row>
    <row r="49">
      <c r="A49" s="6" t="n"/>
      <c r="B49" s="6" t="inlineStr">
        <is>
          <t>Depreciación construcciones</t>
        </is>
      </c>
      <c r="C49" s="25" t="n">
        <v>0.05</v>
      </c>
      <c r="D49" s="25" t="n">
        <v>0.05</v>
      </c>
      <c r="E49" s="25" t="n">
        <v>0.05</v>
      </c>
      <c r="F49" s="12">
        <f>INDEX(C49:E49,$E$3)</f>
        <v/>
      </c>
      <c r="G49" s="6" t="inlineStr">
        <is>
          <t>%</t>
        </is>
      </c>
      <c r="H49" s="4" t="inlineStr">
        <is>
          <t>LISR art. 34 fr. I</t>
        </is>
      </c>
    </row>
    <row r="50">
      <c r="A50" s="6" t="n"/>
      <c r="B50" s="6" t="inlineStr">
        <is>
          <t>Depreciación equipo de restaurante</t>
        </is>
      </c>
      <c r="C50" s="25" t="n">
        <v>0.2</v>
      </c>
      <c r="D50" s="25" t="n">
        <v>0.2</v>
      </c>
      <c r="E50" s="25" t="n">
        <v>0.2</v>
      </c>
      <c r="F50" s="12">
        <f>INDEX(C50:E50,$E$3)</f>
        <v/>
      </c>
      <c r="G50" s="6" t="inlineStr">
        <is>
          <t>%</t>
        </is>
      </c>
      <c r="H50" s="4" t="inlineStr">
        <is>
          <t>LISR art. 35 (restaurantes 20%) — verificar con contador</t>
        </is>
      </c>
    </row>
    <row r="51">
      <c r="A51" s="6" t="n"/>
      <c r="B51" s="6" t="inlineStr">
        <is>
          <t>Depreciación mobiliario</t>
        </is>
      </c>
      <c r="C51" s="25" t="n">
        <v>0.1</v>
      </c>
      <c r="D51" s="25" t="n">
        <v>0.1</v>
      </c>
      <c r="E51" s="25" t="n">
        <v>0.1</v>
      </c>
      <c r="F51" s="12">
        <f>INDEX(C51:E51,$E$3)</f>
        <v/>
      </c>
      <c r="G51" s="6" t="inlineStr">
        <is>
          <t>%</t>
        </is>
      </c>
      <c r="H51" s="4" t="inlineStr">
        <is>
          <t>LISR art. 34 fr. III</t>
        </is>
      </c>
    </row>
    <row r="52">
      <c r="A52" s="6" t="n"/>
      <c r="B52" s="6" t="inlineStr">
        <is>
          <t>Tasa de capitalización para valor residual (Año 10)</t>
        </is>
      </c>
      <c r="C52" s="25" t="n">
        <v>0.11</v>
      </c>
      <c r="D52" s="25" t="n">
        <v>0.1</v>
      </c>
      <c r="E52" s="25" t="n">
        <v>0.09</v>
      </c>
      <c r="F52" s="26">
        <f>INDEX(C52:E52,$E$3)</f>
        <v/>
      </c>
      <c r="G52" s="6" t="inlineStr">
        <is>
          <t>%</t>
        </is>
      </c>
      <c r="H52" s="4" t="inlineStr">
        <is>
          <t>Supuesto; comercial Qro 8–11% (no verificado)</t>
        </is>
      </c>
    </row>
    <row r="53">
      <c r="A53" s="6" t="n"/>
      <c r="B53" s="20" t="inlineStr">
        <is>
          <t>FINANCIEROS E IMPUESTOS (método del curso)</t>
        </is>
      </c>
      <c r="C53" s="21" t="n"/>
      <c r="D53" s="21" t="n"/>
      <c r="E53" s="21" t="n"/>
      <c r="F53" s="21" t="n"/>
      <c r="G53" s="21" t="n"/>
      <c r="H53" s="21" t="n"/>
    </row>
    <row r="54">
      <c r="A54" s="6" t="n"/>
      <c r="B54" s="6" t="inlineStr">
        <is>
          <t>Inflación</t>
        </is>
      </c>
      <c r="C54" s="25" t="n">
        <v>0.0355</v>
      </c>
      <c r="D54" s="25" t="n">
        <v>0.0355</v>
      </c>
      <c r="E54" s="25" t="n">
        <v>0.0355</v>
      </c>
      <c r="F54" s="12">
        <f>INDEX(C54:E54,$E$3)</f>
        <v/>
      </c>
      <c r="G54" s="6" t="inlineStr">
        <is>
          <t>%</t>
        </is>
      </c>
      <c r="H54" s="4" t="inlineStr">
        <is>
          <t>INEGI, 1a quincena jun-2026 (06_finanzas)</t>
        </is>
      </c>
    </row>
    <row r="55">
      <c r="A55" s="6" t="n"/>
      <c r="B55" s="6" t="inlineStr">
        <is>
          <t>CETES 364 días</t>
        </is>
      </c>
      <c r="C55" s="25" t="n">
        <v>0.07240000000000001</v>
      </c>
      <c r="D55" s="25" t="n">
        <v>0.07240000000000001</v>
      </c>
      <c r="E55" s="25" t="n">
        <v>0.07240000000000001</v>
      </c>
      <c r="F55" s="12">
        <f>INDEX(C55:E55,$E$3)</f>
        <v/>
      </c>
      <c r="G55" s="6" t="inlineStr">
        <is>
          <t>%</t>
        </is>
      </c>
      <c r="H55" s="4" t="inlineStr">
        <is>
          <t>Subasta 22-sep-2026</t>
        </is>
      </c>
    </row>
    <row r="56">
      <c r="A56" s="6" t="n"/>
      <c r="B56" s="6" t="inlineStr">
        <is>
          <t>Prima de riesgo del proyecto</t>
        </is>
      </c>
      <c r="C56" s="25" t="n">
        <v>0.09</v>
      </c>
      <c r="D56" s="25" t="n">
        <v>0.07000000000000001</v>
      </c>
      <c r="E56" s="25" t="n">
        <v>0.06</v>
      </c>
      <c r="F56" s="12">
        <f>INDEX(C56:E56,$E$3)</f>
        <v/>
      </c>
      <c r="G56" s="6" t="inlineStr">
        <is>
          <t>%</t>
        </is>
      </c>
      <c r="H56" s="4" t="inlineStr">
        <is>
          <t>Supuesto del equipo; el curso suma Inflación + CETES + Riesgo</t>
        </is>
      </c>
    </row>
    <row r="57">
      <c r="A57" s="6" t="n"/>
      <c r="B57" s="6" t="inlineStr">
        <is>
          <t>ISR persona moral</t>
        </is>
      </c>
      <c r="C57" s="25" t="n">
        <v>0.3</v>
      </c>
      <c r="D57" s="25" t="n">
        <v>0.3</v>
      </c>
      <c r="E57" s="25" t="n">
        <v>0.3</v>
      </c>
      <c r="F57" s="12">
        <f>INDEX(C57:E57,$E$3)</f>
        <v/>
      </c>
      <c r="G57" s="6" t="inlineStr">
        <is>
          <t>%</t>
        </is>
      </c>
      <c r="H57" s="4" t="inlineStr">
        <is>
          <t>LISR</t>
        </is>
      </c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</row>
    <row r="59">
      <c r="A59" s="6" t="n"/>
      <c r="B59" s="8" t="inlineStr">
        <is>
          <t>TREMA = Inflación + CETES + Riesgo (suma simple, método del curso)</t>
        </is>
      </c>
      <c r="C59" s="6" t="n"/>
      <c r="D59" s="6" t="n"/>
      <c r="E59" s="6" t="n"/>
      <c r="F59" s="12">
        <f>Supuestos!$F$54+Supuestos!$F$55+Supuestos!$F$56</f>
        <v/>
      </c>
      <c r="G59" s="6" t="n"/>
      <c r="H59" s="6" t="n"/>
    </row>
    <row r="60">
      <c r="A60" s="6" t="n"/>
      <c r="B60" s="6" t="inlineStr">
        <is>
          <t>Control: villas vendidas suman 10</t>
        </is>
      </c>
      <c r="C60" s="6" t="n"/>
      <c r="D60" s="6" t="n"/>
      <c r="E60" s="6" t="n"/>
      <c r="F60" s="6">
        <f>Supuestos!$F$17+Supuestos!$F$18+Supuestos!$F$19+Supuestos!$F$20</f>
        <v/>
      </c>
      <c r="G60" s="6">
        <f>IF(F60=10,"OK","REVISAR")</f>
        <v/>
      </c>
      <c r="H60" s="6" t="n"/>
    </row>
  </sheetData>
  <dataValidations count="1">
    <dataValidation sqref="D3" showDropDown="0" showInputMessage="0" showErrorMessage="0" allowBlank="0" type="list">
      <formula1>"Conservador,Base,Éxito"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4" customWidth="1" min="4" max="4"/>
    <col width="16" customWidth="1" min="5" max="5"/>
    <col width="18" customWidth="1" min="6" max="6"/>
    <col width="50" customWidth="1" min="7" max="7"/>
  </cols>
  <sheetData>
    <row r="1">
      <c r="A1" s="5" t="inlineStr">
        <is>
          <t>Programa ajustado v3 — Esquema A, villas más grandes (3,080 m² vendibles) para acercarse a la meta del libro</t>
        </is>
      </c>
      <c r="B1" s="6" t="n"/>
      <c r="C1" s="6" t="n"/>
      <c r="D1" s="6" t="n"/>
      <c r="E1" s="6" t="n"/>
      <c r="F1" s="6" t="n"/>
      <c r="G1" s="6" t="n"/>
    </row>
    <row r="2">
      <c r="A2" s="6" t="n"/>
      <c r="B2" s="6" t="n"/>
      <c r="C2" s="6" t="n"/>
      <c r="D2" s="6" t="n"/>
      <c r="E2" s="6" t="n"/>
      <c r="F2" s="6" t="n"/>
      <c r="G2" s="6" t="n"/>
    </row>
    <row r="3">
      <c r="A3" s="15" t="inlineStr">
        <is>
          <t>Villa</t>
        </is>
      </c>
      <c r="B3" s="15" t="inlineStr">
        <is>
          <t>Tipología</t>
        </is>
      </c>
      <c r="C3" s="15" t="inlineStr">
        <is>
          <t>Lote m²</t>
        </is>
      </c>
      <c r="D3" s="15" t="inlineStr">
        <is>
          <t>m² constr.</t>
        </is>
      </c>
      <c r="E3" s="15" t="inlineStr">
        <is>
          <t>Precio $/m² (activo)</t>
        </is>
      </c>
      <c r="F3" s="15" t="inlineStr">
        <is>
          <t>Precio de lista (activo)</t>
        </is>
      </c>
      <c r="G3" s="15" t="inlineStr">
        <is>
          <t>Nota</t>
        </is>
      </c>
    </row>
    <row r="4">
      <c r="A4" s="6" t="inlineStr">
        <is>
          <t>V1</t>
        </is>
      </c>
      <c r="B4" s="6" t="inlineStr">
        <is>
          <t>Torre</t>
        </is>
      </c>
      <c r="C4" s="22" t="n">
        <v>624</v>
      </c>
      <c r="D4" s="22" t="n">
        <v>380</v>
      </c>
      <c r="E4" s="28">
        <f>Supuestos!$F$11</f>
        <v/>
      </c>
      <c r="F4" s="11">
        <f>D4*E4</f>
        <v/>
      </c>
      <c r="G4" s="6" t="inlineStr">
        <is>
          <t>Lotes medidos en Esquema A (layout/out). Emiliano ajusta; los m² construidos son de la Carta v1.</t>
        </is>
      </c>
    </row>
    <row r="5">
      <c r="A5" s="6" t="inlineStr">
        <is>
          <t>V2</t>
        </is>
      </c>
      <c r="B5" s="6" t="inlineStr">
        <is>
          <t>Casale</t>
        </is>
      </c>
      <c r="C5" s="22" t="n">
        <v>624</v>
      </c>
      <c r="D5" s="22" t="n">
        <v>320</v>
      </c>
      <c r="E5" s="28">
        <f>Supuestos!$F$12</f>
        <v/>
      </c>
      <c r="F5" s="11">
        <f>D5*E5</f>
        <v/>
      </c>
      <c r="G5" s="6" t="n"/>
    </row>
    <row r="6">
      <c r="A6" s="6" t="inlineStr">
        <is>
          <t>V3</t>
        </is>
      </c>
      <c r="B6" s="6" t="inlineStr">
        <is>
          <t>Cascina</t>
        </is>
      </c>
      <c r="C6" s="22" t="n">
        <v>624</v>
      </c>
      <c r="D6" s="22" t="n">
        <v>260</v>
      </c>
      <c r="E6" s="28">
        <f>Supuestos!$F$13</f>
        <v/>
      </c>
      <c r="F6" s="11">
        <f>D6*E6</f>
        <v/>
      </c>
      <c r="G6" s="6" t="n"/>
    </row>
    <row r="7">
      <c r="A7" s="6" t="inlineStr">
        <is>
          <t>V4</t>
        </is>
      </c>
      <c r="B7" s="6" t="inlineStr">
        <is>
          <t>Casale</t>
        </is>
      </c>
      <c r="C7" s="22" t="n">
        <v>624</v>
      </c>
      <c r="D7" s="22" t="n">
        <v>320</v>
      </c>
      <c r="E7" s="28">
        <f>Supuestos!$F$12</f>
        <v/>
      </c>
      <c r="F7" s="11">
        <f>D7*E7</f>
        <v/>
      </c>
      <c r="G7" s="6" t="n"/>
    </row>
    <row r="8">
      <c r="A8" s="6" t="inlineStr">
        <is>
          <t>V5</t>
        </is>
      </c>
      <c r="B8" s="6" t="inlineStr">
        <is>
          <t>Torre</t>
        </is>
      </c>
      <c r="C8" s="22" t="n">
        <v>624</v>
      </c>
      <c r="D8" s="22" t="n">
        <v>380</v>
      </c>
      <c r="E8" s="28">
        <f>Supuestos!$F$11</f>
        <v/>
      </c>
      <c r="F8" s="11">
        <f>D8*E8</f>
        <v/>
      </c>
      <c r="G8" s="6" t="n"/>
    </row>
    <row r="9">
      <c r="A9" s="6" t="inlineStr">
        <is>
          <t>V6</t>
        </is>
      </c>
      <c r="B9" s="6" t="inlineStr">
        <is>
          <t>Cascina</t>
        </is>
      </c>
      <c r="C9" s="22" t="n">
        <v>550</v>
      </c>
      <c r="D9" s="22" t="n">
        <v>260</v>
      </c>
      <c r="E9" s="28">
        <f>Supuestos!$F$13</f>
        <v/>
      </c>
      <c r="F9" s="11">
        <f>D9*E9</f>
        <v/>
      </c>
      <c r="G9" s="6" t="n"/>
    </row>
    <row r="10">
      <c r="A10" s="6" t="inlineStr">
        <is>
          <t>V7</t>
        </is>
      </c>
      <c r="B10" s="6" t="inlineStr">
        <is>
          <t>Casale</t>
        </is>
      </c>
      <c r="C10" s="22" t="n">
        <v>550</v>
      </c>
      <c r="D10" s="22" t="n">
        <v>320</v>
      </c>
      <c r="E10" s="28">
        <f>Supuestos!$F$12</f>
        <v/>
      </c>
      <c r="F10" s="11">
        <f>D10*E10</f>
        <v/>
      </c>
      <c r="G10" s="6" t="n"/>
    </row>
    <row r="11">
      <c r="A11" s="6" t="inlineStr">
        <is>
          <t>V8</t>
        </is>
      </c>
      <c r="B11" s="6" t="inlineStr">
        <is>
          <t>Cascina</t>
        </is>
      </c>
      <c r="C11" s="22" t="n">
        <v>550</v>
      </c>
      <c r="D11" s="22" t="n">
        <v>260</v>
      </c>
      <c r="E11" s="28">
        <f>Supuestos!$F$13</f>
        <v/>
      </c>
      <c r="F11" s="11">
        <f>D11*E11</f>
        <v/>
      </c>
      <c r="G11" s="6" t="n"/>
    </row>
    <row r="12">
      <c r="A12" s="6" t="inlineStr">
        <is>
          <t>V9</t>
        </is>
      </c>
      <c r="B12" s="6" t="inlineStr">
        <is>
          <t>Casale</t>
        </is>
      </c>
      <c r="C12" s="22" t="n">
        <v>550</v>
      </c>
      <c r="D12" s="22" t="n">
        <v>320</v>
      </c>
      <c r="E12" s="28">
        <f>Supuestos!$F$12</f>
        <v/>
      </c>
      <c r="F12" s="11">
        <f>D12*E12</f>
        <v/>
      </c>
      <c r="G12" s="6" t="n"/>
    </row>
    <row r="13">
      <c r="A13" s="6" t="inlineStr">
        <is>
          <t>V10</t>
        </is>
      </c>
      <c r="B13" s="6" t="inlineStr">
        <is>
          <t>Cascina</t>
        </is>
      </c>
      <c r="C13" s="22" t="n">
        <v>550</v>
      </c>
      <c r="D13" s="22" t="n">
        <v>260</v>
      </c>
      <c r="E13" s="28">
        <f>Supuestos!$F$13</f>
        <v/>
      </c>
      <c r="F13" s="11">
        <f>D13*E13</f>
        <v/>
      </c>
      <c r="G13" s="6" t="n"/>
    </row>
    <row r="14">
      <c r="A14" s="8" t="inlineStr">
        <is>
          <t>Total</t>
        </is>
      </c>
      <c r="B14" s="6" t="n"/>
      <c r="C14" s="17">
        <f>SUM(C4:C13)</f>
        <v/>
      </c>
      <c r="D14" s="17">
        <f>SUM(D4:D13)</f>
        <v/>
      </c>
      <c r="E14" s="6" t="n"/>
      <c r="F14" s="10">
        <f>SUM(F4:F13)</f>
        <v/>
      </c>
      <c r="G14" s="6" t="n"/>
    </row>
    <row r="15">
      <c r="A15" s="6" t="inlineStr">
        <is>
          <t>Ticket promedio</t>
        </is>
      </c>
      <c r="B15" s="6" t="n"/>
      <c r="C15" s="6" t="n"/>
      <c r="D15" s="6" t="n"/>
      <c r="E15" s="6" t="n"/>
      <c r="F15" s="11">
        <f>F14/10</f>
        <v/>
      </c>
      <c r="G15" s="6" t="n"/>
    </row>
    <row r="16">
      <c r="A16" s="6" t="inlineStr">
        <is>
          <t>Precio promedio $/m²</t>
        </is>
      </c>
      <c r="B16" s="6" t="n"/>
      <c r="C16" s="6" t="n"/>
      <c r="D16" s="6" t="n"/>
      <c r="E16" s="6" t="n"/>
      <c r="F16" s="11">
        <f>F14/D14</f>
        <v/>
      </c>
      <c r="G16" s="6" t="n"/>
    </row>
    <row r="17">
      <c r="A17" s="6" t="inlineStr">
        <is>
          <t>Zona de villas (incluye calle y retorno) m²</t>
        </is>
      </c>
      <c r="B17" s="6" t="n"/>
      <c r="C17" s="6" t="n"/>
      <c r="D17" s="6" t="n"/>
      <c r="E17" s="6" t="n"/>
      <c r="F17" s="29">
        <f>Supuestos!$F$7-Supuestos!$F$8</f>
        <v/>
      </c>
      <c r="G17" s="6" t="n"/>
    </row>
    <row r="18">
      <c r="A18" s="6" t="inlineStr">
        <is>
          <t>Aprovechamiento (m² vendibles / zona de villas)</t>
        </is>
      </c>
      <c r="B18" s="6" t="n"/>
      <c r="C18" s="6" t="n"/>
      <c r="D18" s="6" t="n"/>
      <c r="E18" s="6" t="n"/>
      <c r="F18" s="16">
        <f>D14/F17</f>
        <v/>
      </c>
      <c r="G18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5" t="inlineStr">
        <is>
          <t>Ingresos — Villas (anual). Periodos: Arranque Año 0–1 · Operación Año 2–5</t>
        </is>
      </c>
      <c r="B1" s="6" t="n"/>
      <c r="C1" s="6" t="n"/>
      <c r="D1" s="6" t="n"/>
      <c r="E1" s="6" t="n"/>
      <c r="F1" s="6" t="n"/>
      <c r="G1" s="6" t="n"/>
      <c r="H1" s="6" t="n"/>
      <c r="I1" s="6" t="n"/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6" t="n"/>
    </row>
    <row r="3">
      <c r="A3" s="15" t="inlineStr">
        <is>
          <t>Concepto</t>
        </is>
      </c>
      <c r="B3" s="15" t="inlineStr">
        <is>
          <t>n (años desde lanzamiento)</t>
        </is>
      </c>
      <c r="C3" s="15" t="inlineStr">
        <is>
          <t>Año 0</t>
        </is>
      </c>
      <c r="D3" s="15" t="inlineStr">
        <is>
          <t>Año 1</t>
        </is>
      </c>
      <c r="E3" s="15" t="inlineStr">
        <is>
          <t>Año 2</t>
        </is>
      </c>
      <c r="F3" s="15" t="inlineStr">
        <is>
          <t>Año 3</t>
        </is>
      </c>
      <c r="G3" s="15" t="inlineStr">
        <is>
          <t>Año 4</t>
        </is>
      </c>
      <c r="H3" s="15" t="inlineStr">
        <is>
          <t>Año 5</t>
        </is>
      </c>
      <c r="I3" s="15" t="inlineStr">
        <is>
          <t>TOTAL</t>
        </is>
      </c>
    </row>
    <row r="4">
      <c r="A4" s="6" t="inlineStr">
        <is>
          <t>Año</t>
        </is>
      </c>
      <c r="B4" s="6" t="n"/>
      <c r="C4" s="6" t="n">
        <v>0</v>
      </c>
      <c r="D4" s="6" t="n">
        <v>1</v>
      </c>
      <c r="E4" s="6" t="n">
        <v>2</v>
      </c>
      <c r="F4" s="6" t="n">
        <v>3</v>
      </c>
      <c r="G4" s="6" t="n">
        <v>4</v>
      </c>
      <c r="H4" s="6" t="n">
        <v>5</v>
      </c>
      <c r="I4" s="6" t="n"/>
    </row>
    <row r="5">
      <c r="A5" s="6" t="inlineStr">
        <is>
          <t>Villas vendidas</t>
        </is>
      </c>
      <c r="B5" s="6" t="n"/>
      <c r="C5" s="22" t="n">
        <v>0</v>
      </c>
      <c r="D5" s="22" t="n">
        <v>0</v>
      </c>
      <c r="E5" s="30">
        <f>Supuestos!$F$17</f>
        <v/>
      </c>
      <c r="F5" s="30">
        <f>Supuestos!$F$18</f>
        <v/>
      </c>
      <c r="G5" s="30">
        <f>Supuestos!$F$19</f>
        <v/>
      </c>
      <c r="H5" s="30">
        <f>Supuestos!$F$20</f>
        <v/>
      </c>
      <c r="I5" s="29">
        <f>SUM(C5:H5)</f>
        <v/>
      </c>
    </row>
    <row r="6">
      <c r="A6" s="6" t="inlineStr">
        <is>
          <t>Precio de lista promedio por villa (Vf = Vp(1+i)^n)</t>
        </is>
      </c>
      <c r="B6" s="6" t="n"/>
      <c r="C6" s="11">
        <f>Programa!$F$15*(1+Supuestos!$F$14)^MAX(0,C4-2)</f>
        <v/>
      </c>
      <c r="D6" s="11">
        <f>Programa!$F$15*(1+Supuestos!$F$14)^MAX(0,D4-2)</f>
        <v/>
      </c>
      <c r="E6" s="11">
        <f>Programa!$F$15*(1+Supuestos!$F$14)^MAX(0,E4-2)</f>
        <v/>
      </c>
      <c r="F6" s="11">
        <f>Programa!$F$15*(1+Supuestos!$F$14)^MAX(0,F4-2)</f>
        <v/>
      </c>
      <c r="G6" s="11">
        <f>Programa!$F$15*(1+Supuestos!$F$14)^MAX(0,G4-2)</f>
        <v/>
      </c>
      <c r="H6" s="11">
        <f>Programa!$F$15*(1+Supuestos!$F$14)^MAX(0,H4-2)</f>
        <v/>
      </c>
      <c r="I6" s="11" t="n"/>
    </row>
    <row r="7">
      <c r="A7" s="6" t="inlineStr">
        <is>
          <t>Descuento de preventa</t>
        </is>
      </c>
      <c r="B7" s="6" t="n"/>
      <c r="C7" s="16">
        <f>IF(C4=2,Supuestos!$F$15,0)</f>
        <v/>
      </c>
      <c r="D7" s="16">
        <f>IF(D4=2,Supuestos!$F$15,0)</f>
        <v/>
      </c>
      <c r="E7" s="16">
        <f>IF(E4=2,Supuestos!$F$15,0)</f>
        <v/>
      </c>
      <c r="F7" s="16">
        <f>IF(F4=2,Supuestos!$F$15,0)</f>
        <v/>
      </c>
      <c r="G7" s="16">
        <f>IF(G4=2,Supuestos!$F$15,0)</f>
        <v/>
      </c>
      <c r="H7" s="16">
        <f>IF(H4=2,Supuestos!$F$15,0)</f>
        <v/>
      </c>
      <c r="I7" s="11" t="n"/>
    </row>
    <row r="8">
      <c r="A8" s="6" t="inlineStr">
        <is>
          <t>Valor vendido en el año</t>
        </is>
      </c>
      <c r="B8" s="6" t="n"/>
      <c r="C8" s="11">
        <f>C5*C6*(1-C7)</f>
        <v/>
      </c>
      <c r="D8" s="11">
        <f>D5*D6*(1-D7)</f>
        <v/>
      </c>
      <c r="E8" s="11">
        <f>E5*E6*(1-E7)</f>
        <v/>
      </c>
      <c r="F8" s="11">
        <f>F5*F6*(1-F7)</f>
        <v/>
      </c>
      <c r="G8" s="11">
        <f>G5*G6*(1-G7)</f>
        <v/>
      </c>
      <c r="H8" s="11">
        <f>H5*H6*(1-H7)</f>
        <v/>
      </c>
      <c r="I8" s="11">
        <f>SUM(C8:H8)</f>
        <v/>
      </c>
    </row>
    <row r="9">
      <c r="A9" s="6" t="inlineStr">
        <is>
          <t>Cobro: enganche (o contado si ya se entregó)</t>
        </is>
      </c>
      <c r="B9" s="6" t="n"/>
      <c r="C9" s="11">
        <f>IF(C4&lt;Supuestos!$F$21,C8*Supuestos!$F$16,C8)</f>
        <v/>
      </c>
      <c r="D9" s="11">
        <f>IF(D4&lt;Supuestos!$F$21,D8*Supuestos!$F$16,D8)</f>
        <v/>
      </c>
      <c r="E9" s="11">
        <f>IF(E4&lt;Supuestos!$F$21,E8*Supuestos!$F$16,E8)</f>
        <v/>
      </c>
      <c r="F9" s="11">
        <f>IF(F4&lt;Supuestos!$F$21,F8*Supuestos!$F$16,F8)</f>
        <v/>
      </c>
      <c r="G9" s="11">
        <f>IF(G4&lt;Supuestos!$F$21,G8*Supuestos!$F$16,G8)</f>
        <v/>
      </c>
      <c r="H9" s="11">
        <f>IF(H4&lt;Supuestos!$F$21,H8*Supuestos!$F$16,H8)</f>
        <v/>
      </c>
      <c r="I9" s="11">
        <f>SUM(C9:H9)</f>
        <v/>
      </c>
    </row>
    <row r="10">
      <c r="A10" s="6" t="inlineStr">
        <is>
          <t>Cobro: saldo contra entrega</t>
        </is>
      </c>
      <c r="B10" s="6" t="n"/>
      <c r="C10" s="11">
        <f>IF(C4=Supuestos!$F$21,SUMPRODUCT(($C$4:$H$4&lt;Supuestos!$F$21)*$C$8:$H$8)*(1-Supuestos!$F$16),0)</f>
        <v/>
      </c>
      <c r="D10" s="11">
        <f>IF(D4=Supuestos!$F$21,SUMPRODUCT(($C$4:$H$4&lt;Supuestos!$F$21)*$C$8:$H$8)*(1-Supuestos!$F$16),0)</f>
        <v/>
      </c>
      <c r="E10" s="11">
        <f>IF(E4=Supuestos!$F$21,SUMPRODUCT(($C$4:$H$4&lt;Supuestos!$F$21)*$C$8:$H$8)*(1-Supuestos!$F$16),0)</f>
        <v/>
      </c>
      <c r="F10" s="11">
        <f>IF(F4=Supuestos!$F$21,SUMPRODUCT(($C$4:$H$4&lt;Supuestos!$F$21)*$C$8:$H$8)*(1-Supuestos!$F$16),0)</f>
        <v/>
      </c>
      <c r="G10" s="11">
        <f>IF(G4=Supuestos!$F$21,SUMPRODUCT(($C$4:$H$4&lt;Supuestos!$F$21)*$C$8:$H$8)*(1-Supuestos!$F$16),0)</f>
        <v/>
      </c>
      <c r="H10" s="11">
        <f>IF(H4=Supuestos!$F$21,SUMPRODUCT(($C$4:$H$4&lt;Supuestos!$F$21)*$C$8:$H$8)*(1-Supuestos!$F$16),0)</f>
        <v/>
      </c>
      <c r="I10" s="11">
        <f>SUM(C10:H10)</f>
        <v/>
      </c>
    </row>
    <row r="11">
      <c r="A11" s="8" t="inlineStr">
        <is>
          <t>(+) INGRESOS POR PERIODO</t>
        </is>
      </c>
      <c r="B11" s="6" t="n"/>
      <c r="C11" s="10">
        <f>C9+C10</f>
        <v/>
      </c>
      <c r="D11" s="10">
        <f>D9+D10</f>
        <v/>
      </c>
      <c r="E11" s="10">
        <f>E9+E10</f>
        <v/>
      </c>
      <c r="F11" s="10">
        <f>F9+F10</f>
        <v/>
      </c>
      <c r="G11" s="10">
        <f>G9+G10</f>
        <v/>
      </c>
      <c r="H11" s="10">
        <f>H9+H10</f>
        <v/>
      </c>
      <c r="I11" s="11">
        <f>SUM(C11:H11)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6" t="inlineStr">
        <is>
          <t>Control: cobrado = vendido</t>
        </is>
      </c>
      <c r="B13" s="6" t="n"/>
      <c r="C13" s="6" t="n"/>
      <c r="D13" s="6" t="n"/>
      <c r="E13" s="6" t="n"/>
      <c r="F13" s="6" t="n"/>
      <c r="G13" s="6" t="n"/>
      <c r="H13" s="6" t="n"/>
      <c r="I13" s="6">
        <f>IF(ABS(I11-I8)&lt;1,"OK","REVISAR")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18" customWidth="1" min="3" max="3"/>
    <col width="50" customWidth="1" min="4" max="4"/>
  </cols>
  <sheetData>
    <row r="1">
      <c r="A1" s="5" t="inlineStr">
        <is>
          <t>Presupuesto de obra — a costo (constructora del grupo), pesos de Año 0</t>
        </is>
      </c>
      <c r="B1" s="6" t="n"/>
      <c r="C1" s="6" t="n"/>
      <c r="D1" s="6" t="n"/>
    </row>
    <row r="2">
      <c r="A2" s="6" t="n"/>
      <c r="B2" s="6" t="n"/>
      <c r="C2" s="6" t="n"/>
      <c r="D2" s="6" t="n"/>
    </row>
    <row r="3">
      <c r="A3" s="15" t="inlineStr">
        <is>
          <t>Concepto</t>
        </is>
      </c>
      <c r="B3" s="15" t="inlineStr">
        <is>
          <t>Cantidad</t>
        </is>
      </c>
      <c r="C3" s="15" t="inlineStr">
        <is>
          <t>Importe</t>
        </is>
      </c>
      <c r="D3" s="15" t="inlineStr">
        <is>
          <t>Nota</t>
        </is>
      </c>
    </row>
    <row r="4">
      <c r="A4" s="6" t="inlineStr">
        <is>
          <t>Villas: m² construidos × costo directo</t>
        </is>
      </c>
      <c r="B4" s="29">
        <f>Programa!D14</f>
        <v/>
      </c>
      <c r="C4" s="11">
        <f>B4*Supuestos!$F$23</f>
        <v/>
      </c>
      <c r="D4" s="6" t="n"/>
    </row>
    <row r="5">
      <c r="A5" s="6" t="inlineStr">
        <is>
          <t>IVA no acreditable sobre obra de villas</t>
        </is>
      </c>
      <c r="B5" s="6" t="n"/>
      <c r="C5" s="11">
        <f>C4*Supuestos!$F$24</f>
        <v/>
      </c>
      <c r="D5" s="6" t="n"/>
    </row>
    <row r="6">
      <c r="A6" s="8" t="inlineStr">
        <is>
          <t>Subtotal 1 · Villas</t>
        </is>
      </c>
      <c r="B6" s="6" t="n"/>
      <c r="C6" s="11">
        <f>C4+C5</f>
        <v/>
      </c>
      <c r="D6" s="6" t="n"/>
    </row>
    <row r="7">
      <c r="A7" s="6" t="inlineStr">
        <is>
          <t>Urbanización + amenidades zona villas</t>
        </is>
      </c>
      <c r="B7" s="6" t="n"/>
      <c r="C7" s="11">
        <f>Supuestos!$F$25</f>
        <v/>
      </c>
      <c r="D7" s="6" t="n"/>
    </row>
    <row r="8">
      <c r="A8" s="6" t="inlineStr">
        <is>
          <t>IVA no acreditable sobre urbanización</t>
        </is>
      </c>
      <c r="B8" s="6" t="n"/>
      <c r="C8" s="11">
        <f>C7*Supuestos!$F$24</f>
        <v/>
      </c>
      <c r="D8" s="6" t="n"/>
    </row>
    <row r="9">
      <c r="A9" s="8" t="inlineStr">
        <is>
          <t>Subtotal 2 · Urbanización y amenidades</t>
        </is>
      </c>
      <c r="B9" s="6" t="n"/>
      <c r="C9" s="11">
        <f>C7+C8</f>
        <v/>
      </c>
      <c r="D9" s="6" t="n"/>
    </row>
    <row r="10">
      <c r="A10" s="8" t="inlineStr">
        <is>
          <t>TOTAL OBRA VILLAS (a costo)</t>
        </is>
      </c>
      <c r="B10" s="6" t="n"/>
      <c r="C10" s="11">
        <f>C6+C9</f>
        <v/>
      </c>
      <c r="D10" s="6" t="n"/>
    </row>
    <row r="11">
      <c r="A11" s="6" t="n"/>
      <c r="B11" s="6" t="n"/>
      <c r="C11" s="11" t="n"/>
      <c r="D11" s="6" t="n"/>
    </row>
    <row r="12">
      <c r="A12" s="6" t="inlineStr">
        <is>
          <t>Referencia: lo que costaría con factor de sobrecosto de mercado</t>
        </is>
      </c>
      <c r="B12" s="6" t="n"/>
      <c r="C12" s="11">
        <f>(C4+C7)*(1+Supuestos!$F$27)*(1+Supuestos!$F$24)</f>
        <v/>
      </c>
      <c r="D12" s="6" t="n"/>
    </row>
    <row r="13">
      <c r="A13" s="8" t="inlineStr">
        <is>
          <t>Valor que captura el grupo al construir a costo</t>
        </is>
      </c>
      <c r="B13" s="6" t="n"/>
      <c r="C13" s="11">
        <f>C12-C10</f>
        <v/>
      </c>
      <c r="D13" s="6" t="inlineStr">
        <is>
          <t>No entra al flujo del proyecto; es margen que no se paga a un tercero.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5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5" t="inlineStr">
        <is>
          <t>Egresos — Villas (anual, pesos corrientes con inflación de obra)</t>
        </is>
      </c>
      <c r="B1" s="6" t="n"/>
      <c r="C1" s="6" t="n"/>
      <c r="D1" s="6" t="n"/>
      <c r="E1" s="6" t="n"/>
      <c r="F1" s="6" t="n"/>
      <c r="G1" s="6" t="n"/>
      <c r="H1" s="6" t="n"/>
      <c r="I1" s="6" t="n"/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6" t="n"/>
    </row>
    <row r="3">
      <c r="A3" s="15" t="inlineStr">
        <is>
          <t>Concepto</t>
        </is>
      </c>
      <c r="B3" s="15" t="inlineStr"/>
      <c r="C3" s="15" t="inlineStr">
        <is>
          <t>Año 0</t>
        </is>
      </c>
      <c r="D3" s="15" t="inlineStr">
        <is>
          <t>Año 1</t>
        </is>
      </c>
      <c r="E3" s="15" t="inlineStr">
        <is>
          <t>Año 2</t>
        </is>
      </c>
      <c r="F3" s="15" t="inlineStr">
        <is>
          <t>Año 3</t>
        </is>
      </c>
      <c r="G3" s="15" t="inlineStr">
        <is>
          <t>Año 4</t>
        </is>
      </c>
      <c r="H3" s="15" t="inlineStr">
        <is>
          <t>Año 5</t>
        </is>
      </c>
      <c r="I3" s="15" t="inlineStr">
        <is>
          <t>TOTAL</t>
        </is>
      </c>
    </row>
    <row r="4">
      <c r="A4" s="6" t="inlineStr">
        <is>
          <t>Año</t>
        </is>
      </c>
      <c r="B4" s="6" t="n"/>
      <c r="C4" s="6" t="n">
        <v>0</v>
      </c>
      <c r="D4" s="6" t="n">
        <v>1</v>
      </c>
      <c r="E4" s="6" t="n">
        <v>2</v>
      </c>
      <c r="F4" s="6" t="n">
        <v>3</v>
      </c>
      <c r="G4" s="6" t="n">
        <v>4</v>
      </c>
      <c r="H4" s="6" t="n">
        <v>5</v>
      </c>
      <c r="I4" s="6" t="n"/>
    </row>
    <row r="5">
      <c r="A5" s="6" t="inlineStr">
        <is>
          <t>Terreno (permuta, aportación en especie) — villas + calle</t>
        </is>
      </c>
      <c r="B5" s="6" t="n"/>
      <c r="C5" s="11">
        <f>IF(C4=0,Supuestos!$F$9*(Supuestos!$F$7-Supuestos!$F$8),0)</f>
        <v/>
      </c>
      <c r="D5" s="11">
        <f>IF(D4=0,Supuestos!$F$9*(Supuestos!$F$7-Supuestos!$F$8),0)</f>
        <v/>
      </c>
      <c r="E5" s="11">
        <f>IF(E4=0,Supuestos!$F$9*(Supuestos!$F$7-Supuestos!$F$8),0)</f>
        <v/>
      </c>
      <c r="F5" s="11">
        <f>IF(F4=0,Supuestos!$F$9*(Supuestos!$F$7-Supuestos!$F$8),0)</f>
        <v/>
      </c>
      <c r="G5" s="11">
        <f>IF(G4=0,Supuestos!$F$9*(Supuestos!$F$7-Supuestos!$F$8),0)</f>
        <v/>
      </c>
      <c r="H5" s="11">
        <f>IF(H4=0,Supuestos!$F$9*(Supuestos!$F$7-Supuestos!$F$8),0)</f>
        <v/>
      </c>
      <c r="I5" s="11">
        <f>SUM(C5:H5)</f>
        <v/>
      </c>
    </row>
    <row r="6">
      <c r="A6" s="6" t="inlineStr">
        <is>
          <t>Estudios y proyectos (60% Año 0, 40% Año 1)</t>
        </is>
      </c>
      <c r="B6" s="6" t="n"/>
      <c r="C6" s="11">
        <f>Ingresos!$I$8*Supuestos!$F$29*IF(C4=0,0.6,IF(C4=1,0.4,0))</f>
        <v/>
      </c>
      <c r="D6" s="11">
        <f>Ingresos!$I$8*Supuestos!$F$29*IF(D4=0,0.6,IF(D4=1,0.4,0))</f>
        <v/>
      </c>
      <c r="E6" s="11">
        <f>Ingresos!$I$8*Supuestos!$F$29*IF(E4=0,0.6,IF(E4=1,0.4,0))</f>
        <v/>
      </c>
      <c r="F6" s="11">
        <f>Ingresos!$I$8*Supuestos!$F$29*IF(F4=0,0.6,IF(F4=1,0.4,0))</f>
        <v/>
      </c>
      <c r="G6" s="11">
        <f>Ingresos!$I$8*Supuestos!$F$29*IF(G4=0,0.6,IF(G4=1,0.4,0))</f>
        <v/>
      </c>
      <c r="H6" s="11">
        <f>Ingresos!$I$8*Supuestos!$F$29*IF(H4=0,0.6,IF(H4=1,0.4,0))</f>
        <v/>
      </c>
      <c r="I6" s="11">
        <f>SUM(C6:H6)</f>
        <v/>
      </c>
    </row>
    <row r="7">
      <c r="A7" s="6" t="inlineStr">
        <is>
          <t>Permisos, licencias e incorporaciones (50/50 Año 0–1)</t>
        </is>
      </c>
      <c r="B7" s="6" t="n"/>
      <c r="C7" s="11">
        <f>Ingresos!$I$8*Supuestos!$F$30*IF(C4&lt;=1,0.5,0)</f>
        <v/>
      </c>
      <c r="D7" s="11">
        <f>Ingresos!$I$8*Supuestos!$F$30*IF(D4&lt;=1,0.5,0)</f>
        <v/>
      </c>
      <c r="E7" s="11">
        <f>Ingresos!$I$8*Supuestos!$F$30*IF(E4&lt;=1,0.5,0)</f>
        <v/>
      </c>
      <c r="F7" s="11">
        <f>Ingresos!$I$8*Supuestos!$F$30*IF(F4&lt;=1,0.5,0)</f>
        <v/>
      </c>
      <c r="G7" s="11">
        <f>Ingresos!$I$8*Supuestos!$F$30*IF(G4&lt;=1,0.5,0)</f>
        <v/>
      </c>
      <c r="H7" s="11">
        <f>Ingresos!$I$8*Supuestos!$F$30*IF(H4&lt;=1,0.5,0)</f>
        <v/>
      </c>
      <c r="I7" s="11">
        <f>SUM(C7:H7)</f>
        <v/>
      </c>
    </row>
    <row r="8">
      <c r="A8" s="6" t="inlineStr">
        <is>
          <t>Legales</t>
        </is>
      </c>
      <c r="B8" s="6" t="n"/>
      <c r="C8" s="11">
        <f>Ingresos!$I$8*Supuestos!$F$31*IF(C4=0,1,0)</f>
        <v/>
      </c>
      <c r="D8" s="11">
        <f>Ingresos!$I$8*Supuestos!$F$31*IF(D4=0,1,0)</f>
        <v/>
      </c>
      <c r="E8" s="11">
        <f>Ingresos!$I$8*Supuestos!$F$31*IF(E4=0,1,0)</f>
        <v/>
      </c>
      <c r="F8" s="11">
        <f>Ingresos!$I$8*Supuestos!$F$31*IF(F4=0,1,0)</f>
        <v/>
      </c>
      <c r="G8" s="11">
        <f>Ingresos!$I$8*Supuestos!$F$31*IF(G4=0,1,0)</f>
        <v/>
      </c>
      <c r="H8" s="11">
        <f>Ingresos!$I$8*Supuestos!$F$31*IF(H4=0,1,0)</f>
        <v/>
      </c>
      <c r="I8" s="11">
        <f>SUM(C8:H8)</f>
        <v/>
      </c>
    </row>
    <row r="9">
      <c r="A9" s="6" t="inlineStr">
        <is>
          <t>Urbanización + amenidades (60% Año 1, 40% Año 2)</t>
        </is>
      </c>
      <c r="B9" s="6" t="n"/>
      <c r="C9" s="11">
        <f>'Presupuesto de obra'!$C$9*IF(C4=1,0.6,IF(C4=2,0.4,0))*(1+Supuestos!$F$26)^C4</f>
        <v/>
      </c>
      <c r="D9" s="11">
        <f>'Presupuesto de obra'!$C$9*IF(D4=1,0.6,IF(D4=2,0.4,0))*(1+Supuestos!$F$26)^D4</f>
        <v/>
      </c>
      <c r="E9" s="11">
        <f>'Presupuesto de obra'!$C$9*IF(E4=1,0.6,IF(E4=2,0.4,0))*(1+Supuestos!$F$26)^E4</f>
        <v/>
      </c>
      <c r="F9" s="11">
        <f>'Presupuesto de obra'!$C$9*IF(F4=1,0.6,IF(F4=2,0.4,0))*(1+Supuestos!$F$26)^F4</f>
        <v/>
      </c>
      <c r="G9" s="11">
        <f>'Presupuesto de obra'!$C$9*IF(G4=1,0.6,IF(G4=2,0.4,0))*(1+Supuestos!$F$26)^G4</f>
        <v/>
      </c>
      <c r="H9" s="11">
        <f>'Presupuesto de obra'!$C$9*IF(H4=1,0.6,IF(H4=2,0.4,0))*(1+Supuestos!$F$26)^H4</f>
        <v/>
      </c>
      <c r="I9" s="11">
        <f>SUM(C9:H9)</f>
        <v/>
      </c>
    </row>
    <row r="10">
      <c r="A10" s="6" t="inlineStr">
        <is>
          <t>Construcción villas (50% Año 2, 50% Año 3)</t>
        </is>
      </c>
      <c r="B10" s="6" t="n"/>
      <c r="C10" s="11">
        <f>'Presupuesto de obra'!$C$6*IF(OR(C4=2,C4=3),0.5,0)*(1+Supuestos!$F$26)^C4</f>
        <v/>
      </c>
      <c r="D10" s="11">
        <f>'Presupuesto de obra'!$C$6*IF(OR(D4=2,D4=3),0.5,0)*(1+Supuestos!$F$26)^D4</f>
        <v/>
      </c>
      <c r="E10" s="11">
        <f>'Presupuesto de obra'!$C$6*IF(OR(E4=2,E4=3),0.5,0)*(1+Supuestos!$F$26)^E4</f>
        <v/>
      </c>
      <c r="F10" s="11">
        <f>'Presupuesto de obra'!$C$6*IF(OR(F4=2,F4=3),0.5,0)*(1+Supuestos!$F$26)^F4</f>
        <v/>
      </c>
      <c r="G10" s="11">
        <f>'Presupuesto de obra'!$C$6*IF(OR(G4=2,G4=3),0.5,0)*(1+Supuestos!$F$26)^G4</f>
        <v/>
      </c>
      <c r="H10" s="11">
        <f>'Presupuesto de obra'!$C$6*IF(OR(H4=2,H4=3),0.5,0)*(1+Supuestos!$F$26)^H4</f>
        <v/>
      </c>
      <c r="I10" s="11">
        <f>SUM(C10:H10)</f>
        <v/>
      </c>
    </row>
    <row r="11">
      <c r="A11" s="6" t="inlineStr">
        <is>
          <t>Dirección de obra</t>
        </is>
      </c>
      <c r="B11" s="6" t="n"/>
      <c r="C11" s="11">
        <f>Ingresos!$I$8*Supuestos!$F$32*IF(OR(C4=2,C4=3),0.5,0)</f>
        <v/>
      </c>
      <c r="D11" s="11">
        <f>Ingresos!$I$8*Supuestos!$F$32*IF(OR(D4=2,D4=3),0.5,0)</f>
        <v/>
      </c>
      <c r="E11" s="11">
        <f>Ingresos!$I$8*Supuestos!$F$32*IF(OR(E4=2,E4=3),0.5,0)</f>
        <v/>
      </c>
      <c r="F11" s="11">
        <f>Ingresos!$I$8*Supuestos!$F$32*IF(OR(F4=2,F4=3),0.5,0)</f>
        <v/>
      </c>
      <c r="G11" s="11">
        <f>Ingresos!$I$8*Supuestos!$F$32*IF(OR(G4=2,G4=3),0.5,0)</f>
        <v/>
      </c>
      <c r="H11" s="11">
        <f>Ingresos!$I$8*Supuestos!$F$32*IF(OR(H4=2,H4=3),0.5,0)</f>
        <v/>
      </c>
      <c r="I11" s="11">
        <f>SUM(C11:H11)</f>
        <v/>
      </c>
    </row>
    <row r="12">
      <c r="A12" s="6" t="inlineStr">
        <is>
          <t>Comisiones + publicidad (al vender)</t>
        </is>
      </c>
      <c r="B12" s="6" t="n"/>
      <c r="C12" s="11">
        <f>Ingresos!C8*(Supuestos!$F$33+Supuestos!$F$34)</f>
        <v/>
      </c>
      <c r="D12" s="11">
        <f>Ingresos!D8*(Supuestos!$F$33+Supuestos!$F$34)</f>
        <v/>
      </c>
      <c r="E12" s="11">
        <f>Ingresos!E8*(Supuestos!$F$33+Supuestos!$F$34)</f>
        <v/>
      </c>
      <c r="F12" s="11">
        <f>Ingresos!F8*(Supuestos!$F$33+Supuestos!$F$34)</f>
        <v/>
      </c>
      <c r="G12" s="11">
        <f>Ingresos!G8*(Supuestos!$F$33+Supuestos!$F$34)</f>
        <v/>
      </c>
      <c r="H12" s="11">
        <f>Ingresos!H8*(Supuestos!$F$33+Supuestos!$F$34)</f>
        <v/>
      </c>
      <c r="I12" s="11">
        <f>SUM(C12:H12)</f>
        <v/>
      </c>
    </row>
    <row r="13">
      <c r="A13" s="6" t="inlineStr">
        <is>
          <t>Servicio posventa (año siguiente a entrega)</t>
        </is>
      </c>
      <c r="B13" s="6" t="n"/>
      <c r="C13" s="11">
        <f>Ingresos!$I$8*Supuestos!$F$35*IF(C4=Supuestos!$F$21+1,1,0)</f>
        <v/>
      </c>
      <c r="D13" s="11">
        <f>Ingresos!$I$8*Supuestos!$F$35*IF(D4=Supuestos!$F$21+1,1,0)</f>
        <v/>
      </c>
      <c r="E13" s="11">
        <f>Ingresos!$I$8*Supuestos!$F$35*IF(E4=Supuestos!$F$21+1,1,0)</f>
        <v/>
      </c>
      <c r="F13" s="11">
        <f>Ingresos!$I$8*Supuestos!$F$35*IF(F4=Supuestos!$F$21+1,1,0)</f>
        <v/>
      </c>
      <c r="G13" s="11">
        <f>Ingresos!$I$8*Supuestos!$F$35*IF(G4=Supuestos!$F$21+1,1,0)</f>
        <v/>
      </c>
      <c r="H13" s="11">
        <f>Ingresos!$I$8*Supuestos!$F$35*IF(H4=Supuestos!$F$21+1,1,0)</f>
        <v/>
      </c>
      <c r="I13" s="11">
        <f>SUM(C13:H13)</f>
        <v/>
      </c>
    </row>
    <row r="14">
      <c r="A14" s="6" t="inlineStr">
        <is>
          <t>Administración (repartida Año 0–5)</t>
        </is>
      </c>
      <c r="B14" s="6" t="n"/>
      <c r="C14" s="11">
        <f>Ingresos!$I$8*Supuestos!$F$36/6</f>
        <v/>
      </c>
      <c r="D14" s="11">
        <f>Ingresos!$I$8*Supuestos!$F$36/6</f>
        <v/>
      </c>
      <c r="E14" s="11">
        <f>Ingresos!$I$8*Supuestos!$F$36/6</f>
        <v/>
      </c>
      <c r="F14" s="11">
        <f>Ingresos!$I$8*Supuestos!$F$36/6</f>
        <v/>
      </c>
      <c r="G14" s="11">
        <f>Ingresos!$I$8*Supuestos!$F$36/6</f>
        <v/>
      </c>
      <c r="H14" s="11">
        <f>Ingresos!$I$8*Supuestos!$F$36/6</f>
        <v/>
      </c>
      <c r="I14" s="11">
        <f>SUM(C14:H14)</f>
        <v/>
      </c>
    </row>
    <row r="15">
      <c r="A15" s="8" t="inlineStr">
        <is>
          <t>(-) EGRESOS ANTES DE ISR</t>
        </is>
      </c>
      <c r="B15" s="6" t="n"/>
      <c r="C15" s="10">
        <f>SUM(C5:C14)</f>
        <v/>
      </c>
      <c r="D15" s="10">
        <f>SUM(D5:D14)</f>
        <v/>
      </c>
      <c r="E15" s="10">
        <f>SUM(E5:E14)</f>
        <v/>
      </c>
      <c r="F15" s="10">
        <f>SUM(F5:F14)</f>
        <v/>
      </c>
      <c r="G15" s="10">
        <f>SUM(G5:G14)</f>
        <v/>
      </c>
      <c r="H15" s="10">
        <f>SUM(H5:H14)</f>
        <v/>
      </c>
      <c r="I15" s="10">
        <f>SUM(I5:I14)</f>
        <v/>
      </c>
    </row>
    <row r="16">
      <c r="A16" s="6" t="inlineStr">
        <is>
          <t>ISR (30% sobre utilidad acumulada, pagado al cierre Año 5 · simplificado)</t>
        </is>
      </c>
      <c r="B16" s="6" t="n"/>
      <c r="C16" s="11">
        <f>IF(C4=5,MAX(0,Ingresos!$I$11-$I$15)*Supuestos!$F$57,0)</f>
        <v/>
      </c>
      <c r="D16" s="11">
        <f>IF(D4=5,MAX(0,Ingresos!$I$11-$I$15)*Supuestos!$F$57,0)</f>
        <v/>
      </c>
      <c r="E16" s="11">
        <f>IF(E4=5,MAX(0,Ingresos!$I$11-$I$15)*Supuestos!$F$57,0)</f>
        <v/>
      </c>
      <c r="F16" s="11">
        <f>IF(F4=5,MAX(0,Ingresos!$I$11-$I$15)*Supuestos!$F$57,0)</f>
        <v/>
      </c>
      <c r="G16" s="11">
        <f>IF(G4=5,MAX(0,Ingresos!$I$11-$I$15)*Supuestos!$F$57,0)</f>
        <v/>
      </c>
      <c r="H16" s="11">
        <f>IF(H4=5,MAX(0,Ingresos!$I$11-$I$15)*Supuestos!$F$57,0)</f>
        <v/>
      </c>
      <c r="I16" s="11">
        <f>SUM(C16:H16)</f>
        <v/>
      </c>
    </row>
    <row r="17">
      <c r="A17" s="8" t="inlineStr">
        <is>
          <t>(-) EGRESOS POR PERIODO</t>
        </is>
      </c>
      <c r="B17" s="6" t="n"/>
      <c r="C17" s="10">
        <f>C15+C16</f>
        <v/>
      </c>
      <c r="D17" s="10">
        <f>D15+D16</f>
        <v/>
      </c>
      <c r="E17" s="10">
        <f>E15+E16</f>
        <v/>
      </c>
      <c r="F17" s="10">
        <f>F15+F16</f>
        <v/>
      </c>
      <c r="G17" s="10">
        <f>G15+G16</f>
        <v/>
      </c>
      <c r="H17" s="10">
        <f>H15+H16</f>
        <v/>
      </c>
      <c r="I17" s="10">
        <f>I15+I16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selection activeCell="A1" sqref="A1"/>
    </sheetView>
  </sheetViews>
  <sheetFormatPr baseColWidth="8" defaultRowHeight="15"/>
  <cols>
    <col width="5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5" t="inlineStr">
        <is>
          <t>Borgo M15 — se construye primero (Año 1), opera desde Año 2. Depreciación LISR e ISR. Valor residual en Año 10.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</row>
    <row r="3">
      <c r="A3" s="15" t="inlineStr">
        <is>
          <t>Concepto</t>
        </is>
      </c>
      <c r="B3" s="15" t="inlineStr"/>
      <c r="C3" s="15" t="inlineStr">
        <is>
          <t>Año 0</t>
        </is>
      </c>
      <c r="D3" s="15" t="inlineStr">
        <is>
          <t>Año 1</t>
        </is>
      </c>
      <c r="E3" s="15" t="inlineStr">
        <is>
          <t>Año 2</t>
        </is>
      </c>
      <c r="F3" s="15" t="inlineStr">
        <is>
          <t>Año 3</t>
        </is>
      </c>
      <c r="G3" s="15" t="inlineStr">
        <is>
          <t>Año 4</t>
        </is>
      </c>
      <c r="H3" s="15" t="inlineStr">
        <is>
          <t>Año 5</t>
        </is>
      </c>
      <c r="I3" s="15" t="inlineStr">
        <is>
          <t>Año 6</t>
        </is>
      </c>
      <c r="J3" s="15" t="inlineStr">
        <is>
          <t>Año 7</t>
        </is>
      </c>
      <c r="K3" s="15" t="inlineStr">
        <is>
          <t>Año 8</t>
        </is>
      </c>
      <c r="L3" s="15" t="inlineStr">
        <is>
          <t>Año 9</t>
        </is>
      </c>
      <c r="M3" s="15" t="inlineStr">
        <is>
          <t>Año 10</t>
        </is>
      </c>
      <c r="N3" s="15" t="inlineStr">
        <is>
          <t>TOTAL</t>
        </is>
      </c>
    </row>
    <row r="4">
      <c r="A4" s="6" t="inlineStr">
        <is>
          <t>Año</t>
        </is>
      </c>
      <c r="B4" s="6" t="n"/>
      <c r="C4" s="6" t="n">
        <v>0</v>
      </c>
      <c r="D4" s="6" t="n">
        <v>1</v>
      </c>
      <c r="E4" s="6" t="n">
        <v>2</v>
      </c>
      <c r="F4" s="6" t="n">
        <v>3</v>
      </c>
      <c r="G4" s="6" t="n">
        <v>4</v>
      </c>
      <c r="H4" s="6" t="n">
        <v>5</v>
      </c>
      <c r="I4" s="6" t="n">
        <v>6</v>
      </c>
      <c r="J4" s="6" t="n">
        <v>7</v>
      </c>
      <c r="K4" s="6" t="n">
        <v>8</v>
      </c>
      <c r="L4" s="6" t="n">
        <v>9</v>
      </c>
      <c r="M4" s="6" t="n">
        <v>10</v>
      </c>
      <c r="N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6" t="inlineStr">
        <is>
          <t>Terreno M15 (permuta, en especie)</t>
        </is>
      </c>
      <c r="B6" s="6" t="n"/>
      <c r="C6" s="11">
        <f>IF(C4=0,Supuestos!$F$9*Supuestos!$F$8,0)</f>
        <v/>
      </c>
      <c r="D6" s="11">
        <f>IF(D4=0,Supuestos!$F$9*Supuestos!$F$8,0)</f>
        <v/>
      </c>
      <c r="E6" s="11">
        <f>IF(E4=0,Supuestos!$F$9*Supuestos!$F$8,0)</f>
        <v/>
      </c>
      <c r="F6" s="11">
        <f>IF(F4=0,Supuestos!$F$9*Supuestos!$F$8,0)</f>
        <v/>
      </c>
      <c r="G6" s="11">
        <f>IF(G4=0,Supuestos!$F$9*Supuestos!$F$8,0)</f>
        <v/>
      </c>
      <c r="H6" s="11">
        <f>IF(H4=0,Supuestos!$F$9*Supuestos!$F$8,0)</f>
        <v/>
      </c>
      <c r="I6" s="11">
        <f>IF(I4=0,Supuestos!$F$9*Supuestos!$F$8,0)</f>
        <v/>
      </c>
      <c r="J6" s="11">
        <f>IF(J4=0,Supuestos!$F$9*Supuestos!$F$8,0)</f>
        <v/>
      </c>
      <c r="K6" s="11">
        <f>IF(K4=0,Supuestos!$F$9*Supuestos!$F$8,0)</f>
        <v/>
      </c>
      <c r="L6" s="11">
        <f>IF(L4=0,Supuestos!$F$9*Supuestos!$F$8,0)</f>
        <v/>
      </c>
      <c r="M6" s="11">
        <f>IF(M4=0,Supuestos!$F$9*Supuestos!$F$8,0)</f>
        <v/>
      </c>
      <c r="N6" s="11">
        <f>SUM(C6:M6)</f>
        <v/>
      </c>
    </row>
    <row r="7">
      <c r="A7" s="6" t="inlineStr">
        <is>
          <t>Proyecto, permisos, cambio de uso de suelo</t>
        </is>
      </c>
      <c r="B7" s="6" t="n"/>
      <c r="C7" s="11">
        <f>IF(C4=0,Supuestos!$F$41,0)</f>
        <v/>
      </c>
      <c r="D7" s="11">
        <f>IF(D4=0,Supuestos!$F$41,0)</f>
        <v/>
      </c>
      <c r="E7" s="11">
        <f>IF(E4=0,Supuestos!$F$41,0)</f>
        <v/>
      </c>
      <c r="F7" s="11">
        <f>IF(F4=0,Supuestos!$F$41,0)</f>
        <v/>
      </c>
      <c r="G7" s="11">
        <f>IF(G4=0,Supuestos!$F$41,0)</f>
        <v/>
      </c>
      <c r="H7" s="11">
        <f>IF(H4=0,Supuestos!$F$41,0)</f>
        <v/>
      </c>
      <c r="I7" s="11">
        <f>IF(I4=0,Supuestos!$F$41,0)</f>
        <v/>
      </c>
      <c r="J7" s="11">
        <f>IF(J4=0,Supuestos!$F$41,0)</f>
        <v/>
      </c>
      <c r="K7" s="11">
        <f>IF(K4=0,Supuestos!$F$41,0)</f>
        <v/>
      </c>
      <c r="L7" s="11">
        <f>IF(L4=0,Supuestos!$F$41,0)</f>
        <v/>
      </c>
      <c r="M7" s="11">
        <f>IF(M4=0,Supuestos!$F$41,0)</f>
        <v/>
      </c>
      <c r="N7" s="11">
        <f>SUM(C7:M7)</f>
        <v/>
      </c>
    </row>
    <row r="8">
      <c r="A8" s="6" t="inlineStr">
        <is>
          <t>Obra (Año 1)</t>
        </is>
      </c>
      <c r="B8" s="6" t="n"/>
      <c r="C8" s="11">
        <f>IF(C4=1,Supuestos!$F$38*(1+Supuestos!$F$26),0)</f>
        <v/>
      </c>
      <c r="D8" s="11">
        <f>IF(D4=1,Supuestos!$F$38*(1+Supuestos!$F$26),0)</f>
        <v/>
      </c>
      <c r="E8" s="11">
        <f>IF(E4=1,Supuestos!$F$38*(1+Supuestos!$F$26),0)</f>
        <v/>
      </c>
      <c r="F8" s="11">
        <f>IF(F4=1,Supuestos!$F$38*(1+Supuestos!$F$26),0)</f>
        <v/>
      </c>
      <c r="G8" s="11">
        <f>IF(G4=1,Supuestos!$F$38*(1+Supuestos!$F$26),0)</f>
        <v/>
      </c>
      <c r="H8" s="11">
        <f>IF(H4=1,Supuestos!$F$38*(1+Supuestos!$F$26),0)</f>
        <v/>
      </c>
      <c r="I8" s="11">
        <f>IF(I4=1,Supuestos!$F$38*(1+Supuestos!$F$26),0)</f>
        <v/>
      </c>
      <c r="J8" s="11">
        <f>IF(J4=1,Supuestos!$F$38*(1+Supuestos!$F$26),0)</f>
        <v/>
      </c>
      <c r="K8" s="11">
        <f>IF(K4=1,Supuestos!$F$38*(1+Supuestos!$F$26),0)</f>
        <v/>
      </c>
      <c r="L8" s="11">
        <f>IF(L4=1,Supuestos!$F$38*(1+Supuestos!$F$26),0)</f>
        <v/>
      </c>
      <c r="M8" s="11">
        <f>IF(M4=1,Supuestos!$F$38*(1+Supuestos!$F$26),0)</f>
        <v/>
      </c>
      <c r="N8" s="11">
        <f>SUM(C8:M8)</f>
        <v/>
      </c>
    </row>
    <row r="9">
      <c r="A9" s="6" t="inlineStr">
        <is>
          <t>Cocina y equipamiento (Año 1)</t>
        </is>
      </c>
      <c r="B9" s="6" t="n"/>
      <c r="C9" s="11">
        <f>IF(C4=1,Supuestos!$F$39,0)</f>
        <v/>
      </c>
      <c r="D9" s="11">
        <f>IF(D4=1,Supuestos!$F$39,0)</f>
        <v/>
      </c>
      <c r="E9" s="11">
        <f>IF(E4=1,Supuestos!$F$39,0)</f>
        <v/>
      </c>
      <c r="F9" s="11">
        <f>IF(F4=1,Supuestos!$F$39,0)</f>
        <v/>
      </c>
      <c r="G9" s="11">
        <f>IF(G4=1,Supuestos!$F$39,0)</f>
        <v/>
      </c>
      <c r="H9" s="11">
        <f>IF(H4=1,Supuestos!$F$39,0)</f>
        <v/>
      </c>
      <c r="I9" s="11">
        <f>IF(I4=1,Supuestos!$F$39,0)</f>
        <v/>
      </c>
      <c r="J9" s="11">
        <f>IF(J4=1,Supuestos!$F$39,0)</f>
        <v/>
      </c>
      <c r="K9" s="11">
        <f>IF(K4=1,Supuestos!$F$39,0)</f>
        <v/>
      </c>
      <c r="L9" s="11">
        <f>IF(L4=1,Supuestos!$F$39,0)</f>
        <v/>
      </c>
      <c r="M9" s="11">
        <f>IF(M4=1,Supuestos!$F$39,0)</f>
        <v/>
      </c>
      <c r="N9" s="11">
        <f>SUM(C9:M9)</f>
        <v/>
      </c>
    </row>
    <row r="10">
      <c r="A10" s="6" t="inlineStr">
        <is>
          <t>Mobiliario (Año 1)</t>
        </is>
      </c>
      <c r="B10" s="6" t="n"/>
      <c r="C10" s="11">
        <f>IF(C4=1,Supuestos!$F$40,0)</f>
        <v/>
      </c>
      <c r="D10" s="11">
        <f>IF(D4=1,Supuestos!$F$40,0)</f>
        <v/>
      </c>
      <c r="E10" s="11">
        <f>IF(E4=1,Supuestos!$F$40,0)</f>
        <v/>
      </c>
      <c r="F10" s="11">
        <f>IF(F4=1,Supuestos!$F$40,0)</f>
        <v/>
      </c>
      <c r="G10" s="11">
        <f>IF(G4=1,Supuestos!$F$40,0)</f>
        <v/>
      </c>
      <c r="H10" s="11">
        <f>IF(H4=1,Supuestos!$F$40,0)</f>
        <v/>
      </c>
      <c r="I10" s="11">
        <f>IF(I4=1,Supuestos!$F$40,0)</f>
        <v/>
      </c>
      <c r="J10" s="11">
        <f>IF(J4=1,Supuestos!$F$40,0)</f>
        <v/>
      </c>
      <c r="K10" s="11">
        <f>IF(K4=1,Supuestos!$F$40,0)</f>
        <v/>
      </c>
      <c r="L10" s="11">
        <f>IF(L4=1,Supuestos!$F$40,0)</f>
        <v/>
      </c>
      <c r="M10" s="11">
        <f>IF(M4=1,Supuestos!$F$40,0)</f>
        <v/>
      </c>
      <c r="N10" s="11">
        <f>SUM(C10:M10)</f>
        <v/>
      </c>
    </row>
    <row r="11">
      <c r="A11" s="8" t="inlineStr">
        <is>
          <t>(-) INVERSIÓN</t>
        </is>
      </c>
      <c r="B11" s="6" t="n"/>
      <c r="C11" s="11">
        <f>SUM(C6:C10)</f>
        <v/>
      </c>
      <c r="D11" s="11">
        <f>SUM(D6:D10)</f>
        <v/>
      </c>
      <c r="E11" s="11">
        <f>SUM(E6:E10)</f>
        <v/>
      </c>
      <c r="F11" s="11">
        <f>SUM(F6:F10)</f>
        <v/>
      </c>
      <c r="G11" s="11">
        <f>SUM(G6:G10)</f>
        <v/>
      </c>
      <c r="H11" s="11">
        <f>SUM(H6:H10)</f>
        <v/>
      </c>
      <c r="I11" s="11">
        <f>SUM(I6:I10)</f>
        <v/>
      </c>
      <c r="J11" s="11">
        <f>SUM(J6:J10)</f>
        <v/>
      </c>
      <c r="K11" s="11">
        <f>SUM(K6:K10)</f>
        <v/>
      </c>
      <c r="L11" s="11">
        <f>SUM(L6:L10)</f>
        <v/>
      </c>
      <c r="M11" s="11">
        <f>SUM(M6:M10)</f>
        <v/>
      </c>
      <c r="N11" s="11">
        <f>SUM(C11:M11)</f>
        <v/>
      </c>
    </row>
    <row r="12">
      <c r="A12" s="6" t="inlineStr">
        <is>
          <t>Ventas restaurante</t>
        </is>
      </c>
      <c r="B12" s="6" t="n"/>
      <c r="C12" s="11">
        <f>IF(C4&gt;=2,Supuestos!$F$42*Supuestos!$F$43*Supuestos!$F$44*(1+Supuestos!$F$48)^(C4-2),0)</f>
        <v/>
      </c>
      <c r="D12" s="11">
        <f>IF(D4&gt;=2,Supuestos!$F$42*Supuestos!$F$43*Supuestos!$F$44*(1+Supuestos!$F$48)^(D4-2),0)</f>
        <v/>
      </c>
      <c r="E12" s="11">
        <f>IF(E4&gt;=2,Supuestos!$F$42*Supuestos!$F$43*Supuestos!$F$44*(1+Supuestos!$F$48)^(E4-2),0)</f>
        <v/>
      </c>
      <c r="F12" s="11">
        <f>IF(F4&gt;=2,Supuestos!$F$42*Supuestos!$F$43*Supuestos!$F$44*(1+Supuestos!$F$48)^(F4-2),0)</f>
        <v/>
      </c>
      <c r="G12" s="11">
        <f>IF(G4&gt;=2,Supuestos!$F$42*Supuestos!$F$43*Supuestos!$F$44*(1+Supuestos!$F$48)^(G4-2),0)</f>
        <v/>
      </c>
      <c r="H12" s="11">
        <f>IF(H4&gt;=2,Supuestos!$F$42*Supuestos!$F$43*Supuestos!$F$44*(1+Supuestos!$F$48)^(H4-2),0)</f>
        <v/>
      </c>
      <c r="I12" s="11">
        <f>IF(I4&gt;=2,Supuestos!$F$42*Supuestos!$F$43*Supuestos!$F$44*(1+Supuestos!$F$48)^(I4-2),0)</f>
        <v/>
      </c>
      <c r="J12" s="11">
        <f>IF(J4&gt;=2,Supuestos!$F$42*Supuestos!$F$43*Supuestos!$F$44*(1+Supuestos!$F$48)^(J4-2),0)</f>
        <v/>
      </c>
      <c r="K12" s="11">
        <f>IF(K4&gt;=2,Supuestos!$F$42*Supuestos!$F$43*Supuestos!$F$44*(1+Supuestos!$F$48)^(K4-2),0)</f>
        <v/>
      </c>
      <c r="L12" s="11">
        <f>IF(L4&gt;=2,Supuestos!$F$42*Supuestos!$F$43*Supuestos!$F$44*(1+Supuestos!$F$48)^(L4-2),0)</f>
        <v/>
      </c>
      <c r="M12" s="11">
        <f>IF(M4&gt;=2,Supuestos!$F$42*Supuestos!$F$43*Supuestos!$F$44*(1+Supuestos!$F$48)^(M4-2),0)</f>
        <v/>
      </c>
      <c r="N12" s="11">
        <f>SUM(C12:M12)</f>
        <v/>
      </c>
    </row>
    <row r="13">
      <c r="A13" s="6" t="inlineStr">
        <is>
          <t>Ventas tienda + eventos + pádel</t>
        </is>
      </c>
      <c r="B13" s="6" t="n"/>
      <c r="C13" s="11">
        <f>IF(C4&gt;=2,Supuestos!$F$46*(1+Supuestos!$F$48)^(C4-2),0)</f>
        <v/>
      </c>
      <c r="D13" s="11">
        <f>IF(D4&gt;=2,Supuestos!$F$46*(1+Supuestos!$F$48)^(D4-2),0)</f>
        <v/>
      </c>
      <c r="E13" s="11">
        <f>IF(E4&gt;=2,Supuestos!$F$46*(1+Supuestos!$F$48)^(E4-2),0)</f>
        <v/>
      </c>
      <c r="F13" s="11">
        <f>IF(F4&gt;=2,Supuestos!$F$46*(1+Supuestos!$F$48)^(F4-2),0)</f>
        <v/>
      </c>
      <c r="G13" s="11">
        <f>IF(G4&gt;=2,Supuestos!$F$46*(1+Supuestos!$F$48)^(G4-2),0)</f>
        <v/>
      </c>
      <c r="H13" s="11">
        <f>IF(H4&gt;=2,Supuestos!$F$46*(1+Supuestos!$F$48)^(H4-2),0)</f>
        <v/>
      </c>
      <c r="I13" s="11">
        <f>IF(I4&gt;=2,Supuestos!$F$46*(1+Supuestos!$F$48)^(I4-2),0)</f>
        <v/>
      </c>
      <c r="J13" s="11">
        <f>IF(J4&gt;=2,Supuestos!$F$46*(1+Supuestos!$F$48)^(J4-2),0)</f>
        <v/>
      </c>
      <c r="K13" s="11">
        <f>IF(K4&gt;=2,Supuestos!$F$46*(1+Supuestos!$F$48)^(K4-2),0)</f>
        <v/>
      </c>
      <c r="L13" s="11">
        <f>IF(L4&gt;=2,Supuestos!$F$46*(1+Supuestos!$F$48)^(L4-2),0)</f>
        <v/>
      </c>
      <c r="M13" s="11">
        <f>IF(M4&gt;=2,Supuestos!$F$46*(1+Supuestos!$F$48)^(M4-2),0)</f>
        <v/>
      </c>
      <c r="N13" s="11">
        <f>SUM(C13:M13)</f>
        <v/>
      </c>
    </row>
    <row r="14">
      <c r="A14" s="8" t="inlineStr">
        <is>
          <t>EBITDA (utilidad de operación antes de depreciación)</t>
        </is>
      </c>
      <c r="B14" s="6" t="n"/>
      <c r="C14" s="11">
        <f>C12*Supuestos!$F$45+C13*Supuestos!$F$47</f>
        <v/>
      </c>
      <c r="D14" s="11">
        <f>D12*Supuestos!$F$45+D13*Supuestos!$F$47</f>
        <v/>
      </c>
      <c r="E14" s="11">
        <f>E12*Supuestos!$F$45+E13*Supuestos!$F$47</f>
        <v/>
      </c>
      <c r="F14" s="11">
        <f>F12*Supuestos!$F$45+F13*Supuestos!$F$47</f>
        <v/>
      </c>
      <c r="G14" s="11">
        <f>G12*Supuestos!$F$45+G13*Supuestos!$F$47</f>
        <v/>
      </c>
      <c r="H14" s="11">
        <f>H12*Supuestos!$F$45+H13*Supuestos!$F$47</f>
        <v/>
      </c>
      <c r="I14" s="11">
        <f>I12*Supuestos!$F$45+I13*Supuestos!$F$47</f>
        <v/>
      </c>
      <c r="J14" s="11">
        <f>J12*Supuestos!$F$45+J13*Supuestos!$F$47</f>
        <v/>
      </c>
      <c r="K14" s="11">
        <f>K12*Supuestos!$F$45+K13*Supuestos!$F$47</f>
        <v/>
      </c>
      <c r="L14" s="11">
        <f>L12*Supuestos!$F$45+L13*Supuestos!$F$47</f>
        <v/>
      </c>
      <c r="M14" s="11">
        <f>M12*Supuestos!$F$45+M13*Supuestos!$F$47</f>
        <v/>
      </c>
      <c r="N14" s="11">
        <f>SUM(C14:M14)</f>
        <v/>
      </c>
    </row>
    <row r="15">
      <c r="A15" s="6" t="inlineStr">
        <is>
          <t>Depreciación construcción (5%)</t>
        </is>
      </c>
      <c r="B15" s="6" t="n"/>
      <c r="C15" s="11">
        <f>IF(C4&gt;=2,SUM($C$7:$M$8)*Supuestos!$F$49,0)</f>
        <v/>
      </c>
      <c r="D15" s="11">
        <f>IF(D4&gt;=2,SUM($C$7:$M$8)*Supuestos!$F$49,0)</f>
        <v/>
      </c>
      <c r="E15" s="11">
        <f>IF(E4&gt;=2,SUM($C$7:$M$8)*Supuestos!$F$49,0)</f>
        <v/>
      </c>
      <c r="F15" s="11">
        <f>IF(F4&gt;=2,SUM($C$7:$M$8)*Supuestos!$F$49,0)</f>
        <v/>
      </c>
      <c r="G15" s="11">
        <f>IF(G4&gt;=2,SUM($C$7:$M$8)*Supuestos!$F$49,0)</f>
        <v/>
      </c>
      <c r="H15" s="11">
        <f>IF(H4&gt;=2,SUM($C$7:$M$8)*Supuestos!$F$49,0)</f>
        <v/>
      </c>
      <c r="I15" s="11">
        <f>IF(I4&gt;=2,SUM($C$7:$M$8)*Supuestos!$F$49,0)</f>
        <v/>
      </c>
      <c r="J15" s="11">
        <f>IF(J4&gt;=2,SUM($C$7:$M$8)*Supuestos!$F$49,0)</f>
        <v/>
      </c>
      <c r="K15" s="11">
        <f>IF(K4&gt;=2,SUM($C$7:$M$8)*Supuestos!$F$49,0)</f>
        <v/>
      </c>
      <c r="L15" s="11">
        <f>IF(L4&gt;=2,SUM($C$7:$M$8)*Supuestos!$F$49,0)</f>
        <v/>
      </c>
      <c r="M15" s="11">
        <f>IF(M4&gt;=2,SUM($C$7:$M$8)*Supuestos!$F$49,0)</f>
        <v/>
      </c>
      <c r="N15" s="11">
        <f>SUM(C15:M15)</f>
        <v/>
      </c>
    </row>
    <row r="16">
      <c r="A16" s="6" t="inlineStr">
        <is>
          <t>Depreciación equipo restaurante (20%, 5 años)</t>
        </is>
      </c>
      <c r="B16" s="6" t="n"/>
      <c r="C16" s="11">
        <f>IF(AND(C4&gt;=2,C4&lt;=6),SUM($C$9:$M$9)*Supuestos!$F$50,0)</f>
        <v/>
      </c>
      <c r="D16" s="11">
        <f>IF(AND(D4&gt;=2,D4&lt;=6),SUM($C$9:$M$9)*Supuestos!$F$50,0)</f>
        <v/>
      </c>
      <c r="E16" s="11">
        <f>IF(AND(E4&gt;=2,E4&lt;=6),SUM($C$9:$M$9)*Supuestos!$F$50,0)</f>
        <v/>
      </c>
      <c r="F16" s="11">
        <f>IF(AND(F4&gt;=2,F4&lt;=6),SUM($C$9:$M$9)*Supuestos!$F$50,0)</f>
        <v/>
      </c>
      <c r="G16" s="11">
        <f>IF(AND(G4&gt;=2,G4&lt;=6),SUM($C$9:$M$9)*Supuestos!$F$50,0)</f>
        <v/>
      </c>
      <c r="H16" s="11">
        <f>IF(AND(H4&gt;=2,H4&lt;=6),SUM($C$9:$M$9)*Supuestos!$F$50,0)</f>
        <v/>
      </c>
      <c r="I16" s="11">
        <f>IF(AND(I4&gt;=2,I4&lt;=6),SUM($C$9:$M$9)*Supuestos!$F$50,0)</f>
        <v/>
      </c>
      <c r="J16" s="11">
        <f>IF(AND(J4&gt;=2,J4&lt;=6),SUM($C$9:$M$9)*Supuestos!$F$50,0)</f>
        <v/>
      </c>
      <c r="K16" s="11">
        <f>IF(AND(K4&gt;=2,K4&lt;=6),SUM($C$9:$M$9)*Supuestos!$F$50,0)</f>
        <v/>
      </c>
      <c r="L16" s="11">
        <f>IF(AND(L4&gt;=2,L4&lt;=6),SUM($C$9:$M$9)*Supuestos!$F$50,0)</f>
        <v/>
      </c>
      <c r="M16" s="11">
        <f>IF(AND(M4&gt;=2,M4&lt;=6),SUM($C$9:$M$9)*Supuestos!$F$50,0)</f>
        <v/>
      </c>
      <c r="N16" s="11">
        <f>SUM(C16:M16)</f>
        <v/>
      </c>
    </row>
    <row r="17">
      <c r="A17" s="6" t="inlineStr">
        <is>
          <t>Depreciación mobiliario (10%)</t>
        </is>
      </c>
      <c r="B17" s="6" t="n"/>
      <c r="C17" s="11">
        <f>IF(C4&gt;=2,SUM($C$10:$M$10)*Supuestos!$F$51,0)</f>
        <v/>
      </c>
      <c r="D17" s="11">
        <f>IF(D4&gt;=2,SUM($C$10:$M$10)*Supuestos!$F$51,0)</f>
        <v/>
      </c>
      <c r="E17" s="11">
        <f>IF(E4&gt;=2,SUM($C$10:$M$10)*Supuestos!$F$51,0)</f>
        <v/>
      </c>
      <c r="F17" s="11">
        <f>IF(F4&gt;=2,SUM($C$10:$M$10)*Supuestos!$F$51,0)</f>
        <v/>
      </c>
      <c r="G17" s="11">
        <f>IF(G4&gt;=2,SUM($C$10:$M$10)*Supuestos!$F$51,0)</f>
        <v/>
      </c>
      <c r="H17" s="11">
        <f>IF(H4&gt;=2,SUM($C$10:$M$10)*Supuestos!$F$51,0)</f>
        <v/>
      </c>
      <c r="I17" s="11">
        <f>IF(I4&gt;=2,SUM($C$10:$M$10)*Supuestos!$F$51,0)</f>
        <v/>
      </c>
      <c r="J17" s="11">
        <f>IF(J4&gt;=2,SUM($C$10:$M$10)*Supuestos!$F$51,0)</f>
        <v/>
      </c>
      <c r="K17" s="11">
        <f>IF(K4&gt;=2,SUM($C$10:$M$10)*Supuestos!$F$51,0)</f>
        <v/>
      </c>
      <c r="L17" s="11">
        <f>IF(L4&gt;=2,SUM($C$10:$M$10)*Supuestos!$F$51,0)</f>
        <v/>
      </c>
      <c r="M17" s="11">
        <f>IF(M4&gt;=2,SUM($C$10:$M$10)*Supuestos!$F$51,0)</f>
        <v/>
      </c>
      <c r="N17" s="11">
        <f>SUM(C17:M17)</f>
        <v/>
      </c>
    </row>
    <row r="18">
      <c r="A18" s="6" t="inlineStr">
        <is>
          <t>Utilidad fiscal</t>
        </is>
      </c>
      <c r="B18" s="6" t="n"/>
      <c r="C18" s="11">
        <f>C14-C15-C16-C17</f>
        <v/>
      </c>
      <c r="D18" s="11">
        <f>D14-D15-D16-D17</f>
        <v/>
      </c>
      <c r="E18" s="11">
        <f>E14-E15-E16-E17</f>
        <v/>
      </c>
      <c r="F18" s="11">
        <f>F14-F15-F16-F17</f>
        <v/>
      </c>
      <c r="G18" s="11">
        <f>G14-G15-G16-G17</f>
        <v/>
      </c>
      <c r="H18" s="11">
        <f>H14-H15-H16-H17</f>
        <v/>
      </c>
      <c r="I18" s="11">
        <f>I14-I15-I16-I17</f>
        <v/>
      </c>
      <c r="J18" s="11">
        <f>J14-J15-J16-J17</f>
        <v/>
      </c>
      <c r="K18" s="11">
        <f>K14-K15-K16-K17</f>
        <v/>
      </c>
      <c r="L18" s="11">
        <f>L14-L15-L16-L17</f>
        <v/>
      </c>
      <c r="M18" s="11">
        <f>M14-M15-M16-M17</f>
        <v/>
      </c>
      <c r="N18" s="11">
        <f>SUM(C18:M18)</f>
        <v/>
      </c>
    </row>
    <row r="19">
      <c r="A19" s="6" t="inlineStr">
        <is>
          <t>ISR (30%, sin pérdidas amortizables · simplificado)</t>
        </is>
      </c>
      <c r="B19" s="6" t="n"/>
      <c r="C19" s="11">
        <f>MAX(0,C18)*Supuestos!$F$57</f>
        <v/>
      </c>
      <c r="D19" s="11">
        <f>MAX(0,D18)*Supuestos!$F$57</f>
        <v/>
      </c>
      <c r="E19" s="11">
        <f>MAX(0,E18)*Supuestos!$F$57</f>
        <v/>
      </c>
      <c r="F19" s="11">
        <f>MAX(0,F18)*Supuestos!$F$57</f>
        <v/>
      </c>
      <c r="G19" s="11">
        <f>MAX(0,G18)*Supuestos!$F$57</f>
        <v/>
      </c>
      <c r="H19" s="11">
        <f>MAX(0,H18)*Supuestos!$F$57</f>
        <v/>
      </c>
      <c r="I19" s="11">
        <f>MAX(0,I18)*Supuestos!$F$57</f>
        <v/>
      </c>
      <c r="J19" s="11">
        <f>MAX(0,J18)*Supuestos!$F$57</f>
        <v/>
      </c>
      <c r="K19" s="11">
        <f>MAX(0,K18)*Supuestos!$F$57</f>
        <v/>
      </c>
      <c r="L19" s="11">
        <f>MAX(0,L18)*Supuestos!$F$57</f>
        <v/>
      </c>
      <c r="M19" s="11">
        <f>MAX(0,M18)*Supuestos!$F$57</f>
        <v/>
      </c>
      <c r="N19" s="11">
        <f>SUM(C19:M19)</f>
        <v/>
      </c>
    </row>
    <row r="20">
      <c r="A20" s="6" t="inlineStr">
        <is>
          <t>Flujo de operación después de ISR</t>
        </is>
      </c>
      <c r="B20" s="6" t="n"/>
      <c r="C20" s="11">
        <f>C14-C19</f>
        <v/>
      </c>
      <c r="D20" s="11">
        <f>D14-D19</f>
        <v/>
      </c>
      <c r="E20" s="11">
        <f>E14-E19</f>
        <v/>
      </c>
      <c r="F20" s="11">
        <f>F14-F19</f>
        <v/>
      </c>
      <c r="G20" s="11">
        <f>G14-G19</f>
        <v/>
      </c>
      <c r="H20" s="11">
        <f>H14-H19</f>
        <v/>
      </c>
      <c r="I20" s="11">
        <f>I14-I19</f>
        <v/>
      </c>
      <c r="J20" s="11">
        <f>J14-J19</f>
        <v/>
      </c>
      <c r="K20" s="11">
        <f>K14-K19</f>
        <v/>
      </c>
      <c r="L20" s="11">
        <f>L14-L19</f>
        <v/>
      </c>
      <c r="M20" s="11">
        <f>M14-M19</f>
        <v/>
      </c>
      <c r="N20" s="11">
        <f>SUM(C20:M20)</f>
        <v/>
      </c>
    </row>
    <row r="21">
      <c r="A21" s="6" t="inlineStr">
        <is>
          <t>Valor residual Año 10 (EBITDA Año 10 / cap rate)</t>
        </is>
      </c>
      <c r="B21" s="6" t="n"/>
      <c r="C21" s="11">
        <f>IF(C4=10,C14/Supuestos!$F$52,0)</f>
        <v/>
      </c>
      <c r="D21" s="11">
        <f>IF(D4=10,D14/Supuestos!$F$52,0)</f>
        <v/>
      </c>
      <c r="E21" s="11">
        <f>IF(E4=10,E14/Supuestos!$F$52,0)</f>
        <v/>
      </c>
      <c r="F21" s="11">
        <f>IF(F4=10,F14/Supuestos!$F$52,0)</f>
        <v/>
      </c>
      <c r="G21" s="11">
        <f>IF(G4=10,G14/Supuestos!$F$52,0)</f>
        <v/>
      </c>
      <c r="H21" s="11">
        <f>IF(H4=10,H14/Supuestos!$F$52,0)</f>
        <v/>
      </c>
      <c r="I21" s="11">
        <f>IF(I4=10,I14/Supuestos!$F$52,0)</f>
        <v/>
      </c>
      <c r="J21" s="11">
        <f>IF(J4=10,J14/Supuestos!$F$52,0)</f>
        <v/>
      </c>
      <c r="K21" s="11">
        <f>IF(K4=10,K14/Supuestos!$F$52,0)</f>
        <v/>
      </c>
      <c r="L21" s="11">
        <f>IF(L4=10,L14/Supuestos!$F$52,0)</f>
        <v/>
      </c>
      <c r="M21" s="11">
        <f>IF(M4=10,M14/Supuestos!$F$52,0)</f>
        <v/>
      </c>
      <c r="N21" s="11">
        <f>SUM(C21:M21)</f>
        <v/>
      </c>
    </row>
    <row r="22">
      <c r="A22" s="8" t="inlineStr">
        <is>
          <t>FLUJO NETO BORGO</t>
        </is>
      </c>
      <c r="B22" s="6" t="n"/>
      <c r="C22" s="11">
        <f>-C11+C20+C21</f>
        <v/>
      </c>
      <c r="D22" s="11">
        <f>-D11+D20+D21</f>
        <v/>
      </c>
      <c r="E22" s="11">
        <f>-E11+E20+E21</f>
        <v/>
      </c>
      <c r="F22" s="11">
        <f>-F11+F20+F21</f>
        <v/>
      </c>
      <c r="G22" s="11">
        <f>-G11+G20+G21</f>
        <v/>
      </c>
      <c r="H22" s="11">
        <f>-H11+H20+H21</f>
        <v/>
      </c>
      <c r="I22" s="11">
        <f>-I11+I20+I21</f>
        <v/>
      </c>
      <c r="J22" s="11">
        <f>-J11+J20+J21</f>
        <v/>
      </c>
      <c r="K22" s="11">
        <f>-K11+K20+K21</f>
        <v/>
      </c>
      <c r="L22" s="11">
        <f>-L11+L20+L21</f>
        <v/>
      </c>
      <c r="M22" s="11">
        <f>-M11+M20+M21</f>
        <v/>
      </c>
      <c r="N22" s="11">
        <f>SUM(C22:M22)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8" t="inlineStr">
        <is>
          <t>TIR Borgo</t>
        </is>
      </c>
      <c r="B24" s="16">
        <f>IFERROR(IRR(C22:M22),"sin TIR")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</row>
    <row r="25">
      <c r="A25" s="8" t="inlineStr">
        <is>
          <t>VAN Borgo a TREMA</t>
        </is>
      </c>
      <c r="B25" s="11">
        <f>C22+NPV(Supuestos!$F$59,D22:M22)</f>
        <v/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s="8" t="inlineStr">
        <is>
          <t>Renta equivalente mensual (EBITDA Año 2 / 12)</t>
        </is>
      </c>
      <c r="B26" s="11">
        <f>E14/12</f>
        <v/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</row>
    <row r="28">
      <c r="A28" s="31" t="inlineStr">
        <is>
          <t>Nota: la depreciación reduce ISR (escudo fiscal) pero no es salida de efectivo. Tasas LISR arts. 34–35; la de equipo de restaurante (20%) debe confirmarla el contador.</t>
        </is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selection activeCell="A1" sqref="A1"/>
    </sheetView>
  </sheetViews>
  <sheetFormatPr baseColWidth="8" defaultRowHeight="15"/>
  <cols>
    <col width="54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5" t="inlineStr">
        <is>
          <t>Balance financiero — consolidado Villas + Borgo (anual)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</row>
    <row r="3">
      <c r="A3" s="15" t="inlineStr">
        <is>
          <t>Concepto</t>
        </is>
      </c>
      <c r="B3" s="15" t="inlineStr"/>
      <c r="C3" s="15" t="inlineStr">
        <is>
          <t>Año 0</t>
        </is>
      </c>
      <c r="D3" s="15" t="inlineStr">
        <is>
          <t>Año 1</t>
        </is>
      </c>
      <c r="E3" s="15" t="inlineStr">
        <is>
          <t>Año 2</t>
        </is>
      </c>
      <c r="F3" s="15" t="inlineStr">
        <is>
          <t>Año 3</t>
        </is>
      </c>
      <c r="G3" s="15" t="inlineStr">
        <is>
          <t>Año 4</t>
        </is>
      </c>
      <c r="H3" s="15" t="inlineStr">
        <is>
          <t>Año 5</t>
        </is>
      </c>
      <c r="I3" s="15" t="inlineStr">
        <is>
          <t>Año 6</t>
        </is>
      </c>
      <c r="J3" s="15" t="inlineStr">
        <is>
          <t>Año 7</t>
        </is>
      </c>
      <c r="K3" s="15" t="inlineStr">
        <is>
          <t>Año 8</t>
        </is>
      </c>
      <c r="L3" s="15" t="inlineStr">
        <is>
          <t>Año 9</t>
        </is>
      </c>
      <c r="M3" s="15" t="inlineStr">
        <is>
          <t>Año 10</t>
        </is>
      </c>
      <c r="N3" s="15" t="inlineStr">
        <is>
          <t>TOTAL</t>
        </is>
      </c>
    </row>
    <row r="4">
      <c r="A4" s="6" t="inlineStr">
        <is>
          <t>Año</t>
        </is>
      </c>
      <c r="B4" s="6" t="n"/>
      <c r="C4" s="6" t="n">
        <v>0</v>
      </c>
      <c r="D4" s="6" t="n">
        <v>1</v>
      </c>
      <c r="E4" s="6" t="n">
        <v>2</v>
      </c>
      <c r="F4" s="6" t="n">
        <v>3</v>
      </c>
      <c r="G4" s="6" t="n">
        <v>4</v>
      </c>
      <c r="H4" s="6" t="n">
        <v>5</v>
      </c>
      <c r="I4" s="6" t="n">
        <v>6</v>
      </c>
      <c r="J4" s="6" t="n">
        <v>7</v>
      </c>
      <c r="K4" s="6" t="n">
        <v>8</v>
      </c>
      <c r="L4" s="6" t="n">
        <v>9</v>
      </c>
      <c r="M4" s="6" t="n">
        <v>10</v>
      </c>
      <c r="N4" s="6" t="n"/>
    </row>
    <row r="5">
      <c r="A5" s="6" t="inlineStr">
        <is>
          <t>(+) Ingresos villas</t>
        </is>
      </c>
      <c r="B5" s="6" t="n"/>
      <c r="C5" s="11">
        <f>Ingresos!C11</f>
        <v/>
      </c>
      <c r="D5" s="11">
        <f>Ingresos!D11</f>
        <v/>
      </c>
      <c r="E5" s="11">
        <f>Ingresos!E11</f>
        <v/>
      </c>
      <c r="F5" s="11">
        <f>Ingresos!F11</f>
        <v/>
      </c>
      <c r="G5" s="11">
        <f>Ingresos!G11</f>
        <v/>
      </c>
      <c r="H5" s="11">
        <f>Ingresos!H11</f>
        <v/>
      </c>
      <c r="I5" s="11">
        <f>0</f>
        <v/>
      </c>
      <c r="J5" s="11">
        <f>0</f>
        <v/>
      </c>
      <c r="K5" s="11">
        <f>0</f>
        <v/>
      </c>
      <c r="L5" s="11">
        <f>0</f>
        <v/>
      </c>
      <c r="M5" s="11">
        <f>0</f>
        <v/>
      </c>
      <c r="N5" s="11">
        <f>SUM(C5:M5)</f>
        <v/>
      </c>
    </row>
    <row r="6">
      <c r="A6" s="6" t="inlineStr">
        <is>
          <t>(-) Egresos villas (con ISR)</t>
        </is>
      </c>
      <c r="B6" s="6" t="n"/>
      <c r="C6" s="11">
        <f>Egresos!C17</f>
        <v/>
      </c>
      <c r="D6" s="11">
        <f>Egresos!D17</f>
        <v/>
      </c>
      <c r="E6" s="11">
        <f>Egresos!E17</f>
        <v/>
      </c>
      <c r="F6" s="11">
        <f>Egresos!F17</f>
        <v/>
      </c>
      <c r="G6" s="11">
        <f>Egresos!G17</f>
        <v/>
      </c>
      <c r="H6" s="11">
        <f>Egresos!H17</f>
        <v/>
      </c>
      <c r="I6" s="11">
        <f>0</f>
        <v/>
      </c>
      <c r="J6" s="11">
        <f>0</f>
        <v/>
      </c>
      <c r="K6" s="11">
        <f>0</f>
        <v/>
      </c>
      <c r="L6" s="11">
        <f>0</f>
        <v/>
      </c>
      <c r="M6" s="11">
        <f>0</f>
        <v/>
      </c>
      <c r="N6" s="11">
        <f>SUM(C6:M6)</f>
        <v/>
      </c>
    </row>
    <row r="7">
      <c r="A7" s="8" t="inlineStr">
        <is>
          <t>BALANCE VILLAS</t>
        </is>
      </c>
      <c r="B7" s="6" t="n"/>
      <c r="C7" s="11">
        <f>C5-C6</f>
        <v/>
      </c>
      <c r="D7" s="11">
        <f>D5-D6</f>
        <v/>
      </c>
      <c r="E7" s="11">
        <f>E5-E6</f>
        <v/>
      </c>
      <c r="F7" s="11">
        <f>F5-F6</f>
        <v/>
      </c>
      <c r="G7" s="11">
        <f>G5-G6</f>
        <v/>
      </c>
      <c r="H7" s="11">
        <f>H5-H6</f>
        <v/>
      </c>
      <c r="I7" s="11">
        <f>I5-I6</f>
        <v/>
      </c>
      <c r="J7" s="11">
        <f>J5-J6</f>
        <v/>
      </c>
      <c r="K7" s="11">
        <f>K5-K6</f>
        <v/>
      </c>
      <c r="L7" s="11">
        <f>L5-L6</f>
        <v/>
      </c>
      <c r="M7" s="11">
        <f>M5-M6</f>
        <v/>
      </c>
      <c r="N7" s="11">
        <f>SUM(C7:M7)</f>
        <v/>
      </c>
    </row>
    <row r="8">
      <c r="A8" s="8" t="inlineStr">
        <is>
          <t>BALANCE VILLAS ACUMULADO</t>
        </is>
      </c>
      <c r="B8" s="6" t="n"/>
      <c r="C8" s="11">
        <f>C7</f>
        <v/>
      </c>
      <c r="D8" s="11">
        <f>C8+D7</f>
        <v/>
      </c>
      <c r="E8" s="11">
        <f>D8+E7</f>
        <v/>
      </c>
      <c r="F8" s="11">
        <f>E8+F7</f>
        <v/>
      </c>
      <c r="G8" s="11">
        <f>F8+G7</f>
        <v/>
      </c>
      <c r="H8" s="11">
        <f>G8+H7</f>
        <v/>
      </c>
      <c r="I8" s="11">
        <f>H8+I7</f>
        <v/>
      </c>
      <c r="J8" s="11">
        <f>I8+J7</f>
        <v/>
      </c>
      <c r="K8" s="11">
        <f>J8+K7</f>
        <v/>
      </c>
      <c r="L8" s="11">
        <f>K8+L7</f>
        <v/>
      </c>
      <c r="M8" s="11">
        <f>L8+M7</f>
        <v/>
      </c>
      <c r="N8" s="6" t="n"/>
    </row>
    <row r="9">
      <c r="A9" s="6" t="inlineStr">
        <is>
          <t>Flujo neto Borgo M15</t>
        </is>
      </c>
      <c r="B9" s="6" t="n"/>
      <c r="C9" s="11">
        <f>'Borgo M15'!C22</f>
        <v/>
      </c>
      <c r="D9" s="11">
        <f>'Borgo M15'!D22</f>
        <v/>
      </c>
      <c r="E9" s="11">
        <f>'Borgo M15'!E22</f>
        <v/>
      </c>
      <c r="F9" s="11">
        <f>'Borgo M15'!F22</f>
        <v/>
      </c>
      <c r="G9" s="11">
        <f>'Borgo M15'!G22</f>
        <v/>
      </c>
      <c r="H9" s="11">
        <f>'Borgo M15'!H22</f>
        <v/>
      </c>
      <c r="I9" s="11">
        <f>'Borgo M15'!I22</f>
        <v/>
      </c>
      <c r="J9" s="11">
        <f>'Borgo M15'!J22</f>
        <v/>
      </c>
      <c r="K9" s="11">
        <f>'Borgo M15'!K22</f>
        <v/>
      </c>
      <c r="L9" s="11">
        <f>'Borgo M15'!L22</f>
        <v/>
      </c>
      <c r="M9" s="11">
        <f>'Borgo M15'!M22</f>
        <v/>
      </c>
      <c r="N9" s="11">
        <f>SUM(C9:M9)</f>
        <v/>
      </c>
    </row>
    <row r="10">
      <c r="A10" s="8" t="inlineStr">
        <is>
          <t>BALANCE CONSOLIDADO</t>
        </is>
      </c>
      <c r="B10" s="6" t="n"/>
      <c r="C10" s="11">
        <f>C7+C9</f>
        <v/>
      </c>
      <c r="D10" s="11">
        <f>D7+D9</f>
        <v/>
      </c>
      <c r="E10" s="11">
        <f>E7+E9</f>
        <v/>
      </c>
      <c r="F10" s="11">
        <f>F7+F9</f>
        <v/>
      </c>
      <c r="G10" s="11">
        <f>G7+G9</f>
        <v/>
      </c>
      <c r="H10" s="11">
        <f>H7+H9</f>
        <v/>
      </c>
      <c r="I10" s="11">
        <f>I7+I9</f>
        <v/>
      </c>
      <c r="J10" s="11">
        <f>J7+J9</f>
        <v/>
      </c>
      <c r="K10" s="11">
        <f>K7+K9</f>
        <v/>
      </c>
      <c r="L10" s="11">
        <f>L7+L9</f>
        <v/>
      </c>
      <c r="M10" s="11">
        <f>M7+M9</f>
        <v/>
      </c>
      <c r="N10" s="11">
        <f>SUM(C10:M10)</f>
        <v/>
      </c>
    </row>
    <row r="11">
      <c r="A11" s="8" t="inlineStr">
        <is>
          <t>BALANCE CONSOLIDADO ACUMULADO</t>
        </is>
      </c>
      <c r="B11" s="6" t="n"/>
      <c r="C11" s="11">
        <f>C10</f>
        <v/>
      </c>
      <c r="D11" s="11">
        <f>C11+D10</f>
        <v/>
      </c>
      <c r="E11" s="11">
        <f>D11+E10</f>
        <v/>
      </c>
      <c r="F11" s="11">
        <f>E11+F10</f>
        <v/>
      </c>
      <c r="G11" s="11">
        <f>F11+G10</f>
        <v/>
      </c>
      <c r="H11" s="11">
        <f>G11+H10</f>
        <v/>
      </c>
      <c r="I11" s="11">
        <f>H11+I10</f>
        <v/>
      </c>
      <c r="J11" s="11">
        <f>I11+J10</f>
        <v/>
      </c>
      <c r="K11" s="11">
        <f>J11+K10</f>
        <v/>
      </c>
      <c r="L11" s="11">
        <f>K11+L10</f>
        <v/>
      </c>
      <c r="M11" s="11">
        <f>L11+M10</f>
        <v/>
      </c>
      <c r="N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A13" s="8" t="inlineStr">
        <is>
          <t>INDICADORES (caso activo)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6" t="inlineStr">
        <is>
          <t>TREMA (Inflación + CETES + Riesgo)</t>
        </is>
      </c>
      <c r="B14" s="12">
        <f>Supuestos!$F$59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>
      <c r="A15" s="6" t="inlineStr">
        <is>
          <t>TIR villas</t>
        </is>
      </c>
      <c r="B15" s="12">
        <f>IFERROR(IRR(C7:H7),"sin TIR")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</row>
    <row r="16">
      <c r="A16" s="6" t="inlineStr">
        <is>
          <t>VAN villas a TREMA</t>
        </is>
      </c>
      <c r="B16" s="10">
        <f>C7+NPV(Supuestos!$F$59,D7:H7)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</row>
    <row r="17">
      <c r="A17" s="6" t="inlineStr">
        <is>
          <t>R = Ingresos / Egresos villas (&gt;1)</t>
        </is>
      </c>
      <c r="B17" s="13">
        <f>IFERROR(Ingresos!I11/Egresos!I17,0)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>
      <c r="A18" s="6" t="inlineStr">
        <is>
          <t>Utilidad villas después de ISR</t>
        </is>
      </c>
      <c r="B18" s="10">
        <f>N7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</row>
    <row r="19">
      <c r="A19" s="6" t="inlineStr">
        <is>
          <t>Margen villas sobre ingreso</t>
        </is>
      </c>
      <c r="B19" s="12">
        <f>IFERROR(N7/N5,0)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0">
      <c r="A20" s="6" t="inlineStr">
        <is>
          <t>Capital máximo expuesto (villas)</t>
        </is>
      </c>
      <c r="B20" s="10">
        <f>-MIN(C8:H8)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</row>
    <row r="21">
      <c r="A21" s="6" t="inlineStr">
        <is>
          <t>Punto de retorno villas (años)</t>
        </is>
      </c>
      <c r="B21" s="14">
        <f>IFERROR(COUNTIF(C8:H8,"&lt;0")-1+(-INDEX(C8:H8,COUNTIF(C8:H8,"&lt;0"))/INDEX(C7:H7,COUNTIF(C8:H8,"&lt;0")+1)),"no se recupera")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</row>
    <row r="22">
      <c r="A22" s="6" t="inlineStr">
        <is>
          <t>TIR consolidada (villas + borgo, 10 años)</t>
        </is>
      </c>
      <c r="B22" s="12">
        <f>IFERROR(IRR(C10:M10),"sin TIR")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</row>
    <row r="23">
      <c r="A23" s="6" t="inlineStr">
        <is>
          <t>VAN consolidado a TREMA</t>
        </is>
      </c>
      <c r="B23" s="10">
        <f>C10+NPV(Supuestos!$F$59,D10:M10)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6" t="inlineStr">
        <is>
          <t>Valor que captura el grupo al construir a costo</t>
        </is>
      </c>
      <c r="B24" s="10">
        <f>'Presupuesto de obra'!C13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</row>
    <row r="25">
      <c r="A25" s="6" t="inlineStr">
        <is>
          <t>Carga financiera (método del curso) = (VP(1+TREMA)^5 − VP)/5, VP = capital máx. expuesto</t>
        </is>
      </c>
      <c r="B25" s="10">
        <f>(B20*(1+Supuestos!$F$59)^5-B20)/5</f>
        <v/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>
      <c r="A27" s="31" t="inlineStr">
        <is>
          <t>Nota: la carga financiera del curso es un costo de oportunidad informativo; no se resta al flujo porque la TIR/VAN ya descuentan a la TREMA (evita contar dos veces).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Margen de villas (antes de ISR) — precio promedio de lista vs costo directo, caso activo para lo demás</t>
        </is>
      </c>
      <c r="B1" s="6" t="n"/>
      <c r="C1" s="6" t="n"/>
      <c r="D1" s="6" t="n"/>
      <c r="E1" s="6" t="n"/>
      <c r="F1" s="6" t="n"/>
      <c r="G1" s="6" t="n"/>
    </row>
    <row r="2">
      <c r="A2" s="6" t="n"/>
      <c r="B2" s="6" t="n"/>
      <c r="C2" s="6" t="n"/>
      <c r="D2" s="6" t="n"/>
      <c r="E2" s="6" t="n"/>
      <c r="F2" s="6" t="n"/>
      <c r="G2" s="6" t="n"/>
    </row>
    <row r="3">
      <c r="A3" s="8" t="inlineStr">
        <is>
          <t>Precio $/m² ↓ · Costo $/m² →</t>
        </is>
      </c>
      <c r="B3" s="23" t="n">
        <v>20000</v>
      </c>
      <c r="C3" s="23" t="n">
        <v>22000</v>
      </c>
      <c r="D3" s="23" t="n">
        <v>23000</v>
      </c>
      <c r="E3" s="23" t="n">
        <v>26000</v>
      </c>
      <c r="F3" s="23" t="n">
        <v>30000</v>
      </c>
      <c r="G3" s="23" t="n">
        <v>34000</v>
      </c>
    </row>
    <row r="4">
      <c r="A4" s="23" t="n">
        <v>38000</v>
      </c>
      <c r="B4" s="16">
        <f>((Programa!$D$14*$A4*(1-Supuestos!$F$15*Supuestos!$F$17/10))*(1-SUM(Supuestos!$F$29,Supuestos!$F$30,Supuestos!$F$31,Supuestos!$F$32,Supuestos!$F$33,Supuestos!$F$34,Supuestos!$F$35,Supuestos!$F$36))-Supuestos!$F$9*(Supuestos!$F$7-Supuestos!$F$8)-Programa!$D$14*B$3*(1+Supuestos!$F$24)-Supuestos!$F$25*(1+Supuestos!$F$24))/(Programa!$D$14*$A4*(1-Supuestos!$F$15*Supuestos!$F$17/10))</f>
        <v/>
      </c>
      <c r="C4" s="16">
        <f>((Programa!$D$14*$A4*(1-Supuestos!$F$15*Supuestos!$F$17/10))*(1-SUM(Supuestos!$F$29,Supuestos!$F$30,Supuestos!$F$31,Supuestos!$F$32,Supuestos!$F$33,Supuestos!$F$34,Supuestos!$F$35,Supuestos!$F$36))-Supuestos!$F$9*(Supuestos!$F$7-Supuestos!$F$8)-Programa!$D$14*C$3*(1+Supuestos!$F$24)-Supuestos!$F$25*(1+Supuestos!$F$24))/(Programa!$D$14*$A4*(1-Supuestos!$F$15*Supuestos!$F$17/10))</f>
        <v/>
      </c>
      <c r="D4" s="16">
        <f>((Programa!$D$14*$A4*(1-Supuestos!$F$15*Supuestos!$F$17/10))*(1-SUM(Supuestos!$F$29,Supuestos!$F$30,Supuestos!$F$31,Supuestos!$F$32,Supuestos!$F$33,Supuestos!$F$34,Supuestos!$F$35,Supuestos!$F$36))-Supuestos!$F$9*(Supuestos!$F$7-Supuestos!$F$8)-Programa!$D$14*D$3*(1+Supuestos!$F$24)-Supuestos!$F$25*(1+Supuestos!$F$24))/(Programa!$D$14*$A4*(1-Supuestos!$F$15*Supuestos!$F$17/10))</f>
        <v/>
      </c>
      <c r="E4" s="16">
        <f>((Programa!$D$14*$A4*(1-Supuestos!$F$15*Supuestos!$F$17/10))*(1-SUM(Supuestos!$F$29,Supuestos!$F$30,Supuestos!$F$31,Supuestos!$F$32,Supuestos!$F$33,Supuestos!$F$34,Supuestos!$F$35,Supuestos!$F$36))-Supuestos!$F$9*(Supuestos!$F$7-Supuestos!$F$8)-Programa!$D$14*E$3*(1+Supuestos!$F$24)-Supuestos!$F$25*(1+Supuestos!$F$24))/(Programa!$D$14*$A4*(1-Supuestos!$F$15*Supuestos!$F$17/10))</f>
        <v/>
      </c>
      <c r="F4" s="16">
        <f>((Programa!$D$14*$A4*(1-Supuestos!$F$15*Supuestos!$F$17/10))*(1-SUM(Supuestos!$F$29,Supuestos!$F$30,Supuestos!$F$31,Supuestos!$F$32,Supuestos!$F$33,Supuestos!$F$34,Supuestos!$F$35,Supuestos!$F$36))-Supuestos!$F$9*(Supuestos!$F$7-Supuestos!$F$8)-Programa!$D$14*F$3*(1+Supuestos!$F$24)-Supuestos!$F$25*(1+Supuestos!$F$24))/(Programa!$D$14*$A4*(1-Supuestos!$F$15*Supuestos!$F$17/10))</f>
        <v/>
      </c>
      <c r="G4" s="16">
        <f>((Programa!$D$14*$A4*(1-Supuestos!$F$15*Supuestos!$F$17/10))*(1-SUM(Supuestos!$F$29,Supuestos!$F$30,Supuestos!$F$31,Supuestos!$F$32,Supuestos!$F$33,Supuestos!$F$34,Supuestos!$F$35,Supuestos!$F$36))-Supuestos!$F$9*(Supuestos!$F$7-Supuestos!$F$8)-Programa!$D$14*G$3*(1+Supuestos!$F$24)-Supuestos!$F$25*(1+Supuestos!$F$24))/(Programa!$D$14*$A4*(1-Supuestos!$F$15*Supuestos!$F$17/10))</f>
        <v/>
      </c>
    </row>
    <row r="5">
      <c r="A5" s="23" t="n">
        <v>42000</v>
      </c>
      <c r="B5" s="16">
        <f>((Programa!$D$14*$A5*(1-Supuestos!$F$15*Supuestos!$F$17/10))*(1-SUM(Supuestos!$F$29,Supuestos!$F$30,Supuestos!$F$31,Supuestos!$F$32,Supuestos!$F$33,Supuestos!$F$34,Supuestos!$F$35,Supuestos!$F$36))-Supuestos!$F$9*(Supuestos!$F$7-Supuestos!$F$8)-Programa!$D$14*B$3*(1+Supuestos!$F$24)-Supuestos!$F$25*(1+Supuestos!$F$24))/(Programa!$D$14*$A5*(1-Supuestos!$F$15*Supuestos!$F$17/10))</f>
        <v/>
      </c>
      <c r="C5" s="16">
        <f>((Programa!$D$14*$A5*(1-Supuestos!$F$15*Supuestos!$F$17/10))*(1-SUM(Supuestos!$F$29,Supuestos!$F$30,Supuestos!$F$31,Supuestos!$F$32,Supuestos!$F$33,Supuestos!$F$34,Supuestos!$F$35,Supuestos!$F$36))-Supuestos!$F$9*(Supuestos!$F$7-Supuestos!$F$8)-Programa!$D$14*C$3*(1+Supuestos!$F$24)-Supuestos!$F$25*(1+Supuestos!$F$24))/(Programa!$D$14*$A5*(1-Supuestos!$F$15*Supuestos!$F$17/10))</f>
        <v/>
      </c>
      <c r="D5" s="16">
        <f>((Programa!$D$14*$A5*(1-Supuestos!$F$15*Supuestos!$F$17/10))*(1-SUM(Supuestos!$F$29,Supuestos!$F$30,Supuestos!$F$31,Supuestos!$F$32,Supuestos!$F$33,Supuestos!$F$34,Supuestos!$F$35,Supuestos!$F$36))-Supuestos!$F$9*(Supuestos!$F$7-Supuestos!$F$8)-Programa!$D$14*D$3*(1+Supuestos!$F$24)-Supuestos!$F$25*(1+Supuestos!$F$24))/(Programa!$D$14*$A5*(1-Supuestos!$F$15*Supuestos!$F$17/10))</f>
        <v/>
      </c>
      <c r="E5" s="16">
        <f>((Programa!$D$14*$A5*(1-Supuestos!$F$15*Supuestos!$F$17/10))*(1-SUM(Supuestos!$F$29,Supuestos!$F$30,Supuestos!$F$31,Supuestos!$F$32,Supuestos!$F$33,Supuestos!$F$34,Supuestos!$F$35,Supuestos!$F$36))-Supuestos!$F$9*(Supuestos!$F$7-Supuestos!$F$8)-Programa!$D$14*E$3*(1+Supuestos!$F$24)-Supuestos!$F$25*(1+Supuestos!$F$24))/(Programa!$D$14*$A5*(1-Supuestos!$F$15*Supuestos!$F$17/10))</f>
        <v/>
      </c>
      <c r="F5" s="16">
        <f>((Programa!$D$14*$A5*(1-Supuestos!$F$15*Supuestos!$F$17/10))*(1-SUM(Supuestos!$F$29,Supuestos!$F$30,Supuestos!$F$31,Supuestos!$F$32,Supuestos!$F$33,Supuestos!$F$34,Supuestos!$F$35,Supuestos!$F$36))-Supuestos!$F$9*(Supuestos!$F$7-Supuestos!$F$8)-Programa!$D$14*F$3*(1+Supuestos!$F$24)-Supuestos!$F$25*(1+Supuestos!$F$24))/(Programa!$D$14*$A5*(1-Supuestos!$F$15*Supuestos!$F$17/10))</f>
        <v/>
      </c>
      <c r="G5" s="16">
        <f>((Programa!$D$14*$A5*(1-Supuestos!$F$15*Supuestos!$F$17/10))*(1-SUM(Supuestos!$F$29,Supuestos!$F$30,Supuestos!$F$31,Supuestos!$F$32,Supuestos!$F$33,Supuestos!$F$34,Supuestos!$F$35,Supuestos!$F$36))-Supuestos!$F$9*(Supuestos!$F$7-Supuestos!$F$8)-Programa!$D$14*G$3*(1+Supuestos!$F$24)-Supuestos!$F$25*(1+Supuestos!$F$24))/(Programa!$D$14*$A5*(1-Supuestos!$F$15*Supuestos!$F$17/10))</f>
        <v/>
      </c>
    </row>
    <row r="6">
      <c r="A6" s="23" t="n">
        <v>45000</v>
      </c>
      <c r="B6" s="16">
        <f>((Programa!$D$14*$A6*(1-Supuestos!$F$15*Supuestos!$F$17/10))*(1-SUM(Supuestos!$F$29,Supuestos!$F$30,Supuestos!$F$31,Supuestos!$F$32,Supuestos!$F$33,Supuestos!$F$34,Supuestos!$F$35,Supuestos!$F$36))-Supuestos!$F$9*(Supuestos!$F$7-Supuestos!$F$8)-Programa!$D$14*B$3*(1+Supuestos!$F$24)-Supuestos!$F$25*(1+Supuestos!$F$24))/(Programa!$D$14*$A6*(1-Supuestos!$F$15*Supuestos!$F$17/10))</f>
        <v/>
      </c>
      <c r="C6" s="16">
        <f>((Programa!$D$14*$A6*(1-Supuestos!$F$15*Supuestos!$F$17/10))*(1-SUM(Supuestos!$F$29,Supuestos!$F$30,Supuestos!$F$31,Supuestos!$F$32,Supuestos!$F$33,Supuestos!$F$34,Supuestos!$F$35,Supuestos!$F$36))-Supuestos!$F$9*(Supuestos!$F$7-Supuestos!$F$8)-Programa!$D$14*C$3*(1+Supuestos!$F$24)-Supuestos!$F$25*(1+Supuestos!$F$24))/(Programa!$D$14*$A6*(1-Supuestos!$F$15*Supuestos!$F$17/10))</f>
        <v/>
      </c>
      <c r="D6" s="16">
        <f>((Programa!$D$14*$A6*(1-Supuestos!$F$15*Supuestos!$F$17/10))*(1-SUM(Supuestos!$F$29,Supuestos!$F$30,Supuestos!$F$31,Supuestos!$F$32,Supuestos!$F$33,Supuestos!$F$34,Supuestos!$F$35,Supuestos!$F$36))-Supuestos!$F$9*(Supuestos!$F$7-Supuestos!$F$8)-Programa!$D$14*D$3*(1+Supuestos!$F$24)-Supuestos!$F$25*(1+Supuestos!$F$24))/(Programa!$D$14*$A6*(1-Supuestos!$F$15*Supuestos!$F$17/10))</f>
        <v/>
      </c>
      <c r="E6" s="16">
        <f>((Programa!$D$14*$A6*(1-Supuestos!$F$15*Supuestos!$F$17/10))*(1-SUM(Supuestos!$F$29,Supuestos!$F$30,Supuestos!$F$31,Supuestos!$F$32,Supuestos!$F$33,Supuestos!$F$34,Supuestos!$F$35,Supuestos!$F$36))-Supuestos!$F$9*(Supuestos!$F$7-Supuestos!$F$8)-Programa!$D$14*E$3*(1+Supuestos!$F$24)-Supuestos!$F$25*(1+Supuestos!$F$24))/(Programa!$D$14*$A6*(1-Supuestos!$F$15*Supuestos!$F$17/10))</f>
        <v/>
      </c>
      <c r="F6" s="16">
        <f>((Programa!$D$14*$A6*(1-Supuestos!$F$15*Supuestos!$F$17/10))*(1-SUM(Supuestos!$F$29,Supuestos!$F$30,Supuestos!$F$31,Supuestos!$F$32,Supuestos!$F$33,Supuestos!$F$34,Supuestos!$F$35,Supuestos!$F$36))-Supuestos!$F$9*(Supuestos!$F$7-Supuestos!$F$8)-Programa!$D$14*F$3*(1+Supuestos!$F$24)-Supuestos!$F$25*(1+Supuestos!$F$24))/(Programa!$D$14*$A6*(1-Supuestos!$F$15*Supuestos!$F$17/10))</f>
        <v/>
      </c>
      <c r="G6" s="16">
        <f>((Programa!$D$14*$A6*(1-Supuestos!$F$15*Supuestos!$F$17/10))*(1-SUM(Supuestos!$F$29,Supuestos!$F$30,Supuestos!$F$31,Supuestos!$F$32,Supuestos!$F$33,Supuestos!$F$34,Supuestos!$F$35,Supuestos!$F$36))-Supuestos!$F$9*(Supuestos!$F$7-Supuestos!$F$8)-Programa!$D$14*G$3*(1+Supuestos!$F$24)-Supuestos!$F$25*(1+Supuestos!$F$24))/(Programa!$D$14*$A6*(1-Supuestos!$F$15*Supuestos!$F$17/10))</f>
        <v/>
      </c>
    </row>
    <row r="7">
      <c r="A7" s="23" t="n">
        <v>47000</v>
      </c>
      <c r="B7" s="16">
        <f>((Programa!$D$14*$A7*(1-Supuestos!$F$15*Supuestos!$F$17/10))*(1-SUM(Supuestos!$F$29,Supuestos!$F$30,Supuestos!$F$31,Supuestos!$F$32,Supuestos!$F$33,Supuestos!$F$34,Supuestos!$F$35,Supuestos!$F$36))-Supuestos!$F$9*(Supuestos!$F$7-Supuestos!$F$8)-Programa!$D$14*B$3*(1+Supuestos!$F$24)-Supuestos!$F$25*(1+Supuestos!$F$24))/(Programa!$D$14*$A7*(1-Supuestos!$F$15*Supuestos!$F$17/10))</f>
        <v/>
      </c>
      <c r="C7" s="16">
        <f>((Programa!$D$14*$A7*(1-Supuestos!$F$15*Supuestos!$F$17/10))*(1-SUM(Supuestos!$F$29,Supuestos!$F$30,Supuestos!$F$31,Supuestos!$F$32,Supuestos!$F$33,Supuestos!$F$34,Supuestos!$F$35,Supuestos!$F$36))-Supuestos!$F$9*(Supuestos!$F$7-Supuestos!$F$8)-Programa!$D$14*C$3*(1+Supuestos!$F$24)-Supuestos!$F$25*(1+Supuestos!$F$24))/(Programa!$D$14*$A7*(1-Supuestos!$F$15*Supuestos!$F$17/10))</f>
        <v/>
      </c>
      <c r="D7" s="16">
        <f>((Programa!$D$14*$A7*(1-Supuestos!$F$15*Supuestos!$F$17/10))*(1-SUM(Supuestos!$F$29,Supuestos!$F$30,Supuestos!$F$31,Supuestos!$F$32,Supuestos!$F$33,Supuestos!$F$34,Supuestos!$F$35,Supuestos!$F$36))-Supuestos!$F$9*(Supuestos!$F$7-Supuestos!$F$8)-Programa!$D$14*D$3*(1+Supuestos!$F$24)-Supuestos!$F$25*(1+Supuestos!$F$24))/(Programa!$D$14*$A7*(1-Supuestos!$F$15*Supuestos!$F$17/10))</f>
        <v/>
      </c>
      <c r="E7" s="16">
        <f>((Programa!$D$14*$A7*(1-Supuestos!$F$15*Supuestos!$F$17/10))*(1-SUM(Supuestos!$F$29,Supuestos!$F$30,Supuestos!$F$31,Supuestos!$F$32,Supuestos!$F$33,Supuestos!$F$34,Supuestos!$F$35,Supuestos!$F$36))-Supuestos!$F$9*(Supuestos!$F$7-Supuestos!$F$8)-Programa!$D$14*E$3*(1+Supuestos!$F$24)-Supuestos!$F$25*(1+Supuestos!$F$24))/(Programa!$D$14*$A7*(1-Supuestos!$F$15*Supuestos!$F$17/10))</f>
        <v/>
      </c>
      <c r="F7" s="16">
        <f>((Programa!$D$14*$A7*(1-Supuestos!$F$15*Supuestos!$F$17/10))*(1-SUM(Supuestos!$F$29,Supuestos!$F$30,Supuestos!$F$31,Supuestos!$F$32,Supuestos!$F$33,Supuestos!$F$34,Supuestos!$F$35,Supuestos!$F$36))-Supuestos!$F$9*(Supuestos!$F$7-Supuestos!$F$8)-Programa!$D$14*F$3*(1+Supuestos!$F$24)-Supuestos!$F$25*(1+Supuestos!$F$24))/(Programa!$D$14*$A7*(1-Supuestos!$F$15*Supuestos!$F$17/10))</f>
        <v/>
      </c>
      <c r="G7" s="16">
        <f>((Programa!$D$14*$A7*(1-Supuestos!$F$15*Supuestos!$F$17/10))*(1-SUM(Supuestos!$F$29,Supuestos!$F$30,Supuestos!$F$31,Supuestos!$F$32,Supuestos!$F$33,Supuestos!$F$34,Supuestos!$F$35,Supuestos!$F$36))-Supuestos!$F$9*(Supuestos!$F$7-Supuestos!$F$8)-Programa!$D$14*G$3*(1+Supuestos!$F$24)-Supuestos!$F$25*(1+Supuestos!$F$24))/(Programa!$D$14*$A7*(1-Supuestos!$F$15*Supuestos!$F$17/10))</f>
        <v/>
      </c>
    </row>
    <row r="8">
      <c r="A8" s="23" t="n">
        <v>50000</v>
      </c>
      <c r="B8" s="16">
        <f>((Programa!$D$14*$A8*(1-Supuestos!$F$15*Supuestos!$F$17/10))*(1-SUM(Supuestos!$F$29,Supuestos!$F$30,Supuestos!$F$31,Supuestos!$F$32,Supuestos!$F$33,Supuestos!$F$34,Supuestos!$F$35,Supuestos!$F$36))-Supuestos!$F$9*(Supuestos!$F$7-Supuestos!$F$8)-Programa!$D$14*B$3*(1+Supuestos!$F$24)-Supuestos!$F$25*(1+Supuestos!$F$24))/(Programa!$D$14*$A8*(1-Supuestos!$F$15*Supuestos!$F$17/10))</f>
        <v/>
      </c>
      <c r="C8" s="16">
        <f>((Programa!$D$14*$A8*(1-Supuestos!$F$15*Supuestos!$F$17/10))*(1-SUM(Supuestos!$F$29,Supuestos!$F$30,Supuestos!$F$31,Supuestos!$F$32,Supuestos!$F$33,Supuestos!$F$34,Supuestos!$F$35,Supuestos!$F$36))-Supuestos!$F$9*(Supuestos!$F$7-Supuestos!$F$8)-Programa!$D$14*C$3*(1+Supuestos!$F$24)-Supuestos!$F$25*(1+Supuestos!$F$24))/(Programa!$D$14*$A8*(1-Supuestos!$F$15*Supuestos!$F$17/10))</f>
        <v/>
      </c>
      <c r="D8" s="16">
        <f>((Programa!$D$14*$A8*(1-Supuestos!$F$15*Supuestos!$F$17/10))*(1-SUM(Supuestos!$F$29,Supuestos!$F$30,Supuestos!$F$31,Supuestos!$F$32,Supuestos!$F$33,Supuestos!$F$34,Supuestos!$F$35,Supuestos!$F$36))-Supuestos!$F$9*(Supuestos!$F$7-Supuestos!$F$8)-Programa!$D$14*D$3*(1+Supuestos!$F$24)-Supuestos!$F$25*(1+Supuestos!$F$24))/(Programa!$D$14*$A8*(1-Supuestos!$F$15*Supuestos!$F$17/10))</f>
        <v/>
      </c>
      <c r="E8" s="16">
        <f>((Programa!$D$14*$A8*(1-Supuestos!$F$15*Supuestos!$F$17/10))*(1-SUM(Supuestos!$F$29,Supuestos!$F$30,Supuestos!$F$31,Supuestos!$F$32,Supuestos!$F$33,Supuestos!$F$34,Supuestos!$F$35,Supuestos!$F$36))-Supuestos!$F$9*(Supuestos!$F$7-Supuestos!$F$8)-Programa!$D$14*E$3*(1+Supuestos!$F$24)-Supuestos!$F$25*(1+Supuestos!$F$24))/(Programa!$D$14*$A8*(1-Supuestos!$F$15*Supuestos!$F$17/10))</f>
        <v/>
      </c>
      <c r="F8" s="16">
        <f>((Programa!$D$14*$A8*(1-Supuestos!$F$15*Supuestos!$F$17/10))*(1-SUM(Supuestos!$F$29,Supuestos!$F$30,Supuestos!$F$31,Supuestos!$F$32,Supuestos!$F$33,Supuestos!$F$34,Supuestos!$F$35,Supuestos!$F$36))-Supuestos!$F$9*(Supuestos!$F$7-Supuestos!$F$8)-Programa!$D$14*F$3*(1+Supuestos!$F$24)-Supuestos!$F$25*(1+Supuestos!$F$24))/(Programa!$D$14*$A8*(1-Supuestos!$F$15*Supuestos!$F$17/10))</f>
        <v/>
      </c>
      <c r="G8" s="16">
        <f>((Programa!$D$14*$A8*(1-Supuestos!$F$15*Supuestos!$F$17/10))*(1-SUM(Supuestos!$F$29,Supuestos!$F$30,Supuestos!$F$31,Supuestos!$F$32,Supuestos!$F$33,Supuestos!$F$34,Supuestos!$F$35,Supuestos!$F$36))-Supuestos!$F$9*(Supuestos!$F$7-Supuestos!$F$8)-Programa!$D$14*G$3*(1+Supuestos!$F$24)-Supuestos!$F$25*(1+Supuestos!$F$24))/(Programa!$D$14*$A8*(1-Supuestos!$F$15*Supuestos!$F$17/10))</f>
        <v/>
      </c>
    </row>
    <row r="9">
      <c r="A9" s="23" t="n">
        <v>55000</v>
      </c>
      <c r="B9" s="16">
        <f>((Programa!$D$14*$A9*(1-Supuestos!$F$15*Supuestos!$F$17/10))*(1-SUM(Supuestos!$F$29,Supuestos!$F$30,Supuestos!$F$31,Supuestos!$F$32,Supuestos!$F$33,Supuestos!$F$34,Supuestos!$F$35,Supuestos!$F$36))-Supuestos!$F$9*(Supuestos!$F$7-Supuestos!$F$8)-Programa!$D$14*B$3*(1+Supuestos!$F$24)-Supuestos!$F$25*(1+Supuestos!$F$24))/(Programa!$D$14*$A9*(1-Supuestos!$F$15*Supuestos!$F$17/10))</f>
        <v/>
      </c>
      <c r="C9" s="16">
        <f>((Programa!$D$14*$A9*(1-Supuestos!$F$15*Supuestos!$F$17/10))*(1-SUM(Supuestos!$F$29,Supuestos!$F$30,Supuestos!$F$31,Supuestos!$F$32,Supuestos!$F$33,Supuestos!$F$34,Supuestos!$F$35,Supuestos!$F$36))-Supuestos!$F$9*(Supuestos!$F$7-Supuestos!$F$8)-Programa!$D$14*C$3*(1+Supuestos!$F$24)-Supuestos!$F$25*(1+Supuestos!$F$24))/(Programa!$D$14*$A9*(1-Supuestos!$F$15*Supuestos!$F$17/10))</f>
        <v/>
      </c>
      <c r="D9" s="16">
        <f>((Programa!$D$14*$A9*(1-Supuestos!$F$15*Supuestos!$F$17/10))*(1-SUM(Supuestos!$F$29,Supuestos!$F$30,Supuestos!$F$31,Supuestos!$F$32,Supuestos!$F$33,Supuestos!$F$34,Supuestos!$F$35,Supuestos!$F$36))-Supuestos!$F$9*(Supuestos!$F$7-Supuestos!$F$8)-Programa!$D$14*D$3*(1+Supuestos!$F$24)-Supuestos!$F$25*(1+Supuestos!$F$24))/(Programa!$D$14*$A9*(1-Supuestos!$F$15*Supuestos!$F$17/10))</f>
        <v/>
      </c>
      <c r="E9" s="16">
        <f>((Programa!$D$14*$A9*(1-Supuestos!$F$15*Supuestos!$F$17/10))*(1-SUM(Supuestos!$F$29,Supuestos!$F$30,Supuestos!$F$31,Supuestos!$F$32,Supuestos!$F$33,Supuestos!$F$34,Supuestos!$F$35,Supuestos!$F$36))-Supuestos!$F$9*(Supuestos!$F$7-Supuestos!$F$8)-Programa!$D$14*E$3*(1+Supuestos!$F$24)-Supuestos!$F$25*(1+Supuestos!$F$24))/(Programa!$D$14*$A9*(1-Supuestos!$F$15*Supuestos!$F$17/10))</f>
        <v/>
      </c>
      <c r="F9" s="16">
        <f>((Programa!$D$14*$A9*(1-Supuestos!$F$15*Supuestos!$F$17/10))*(1-SUM(Supuestos!$F$29,Supuestos!$F$30,Supuestos!$F$31,Supuestos!$F$32,Supuestos!$F$33,Supuestos!$F$34,Supuestos!$F$35,Supuestos!$F$36))-Supuestos!$F$9*(Supuestos!$F$7-Supuestos!$F$8)-Programa!$D$14*F$3*(1+Supuestos!$F$24)-Supuestos!$F$25*(1+Supuestos!$F$24))/(Programa!$D$14*$A9*(1-Supuestos!$F$15*Supuestos!$F$17/10))</f>
        <v/>
      </c>
      <c r="G9" s="16">
        <f>((Programa!$D$14*$A9*(1-Supuestos!$F$15*Supuestos!$F$17/10))*(1-SUM(Supuestos!$F$29,Supuestos!$F$30,Supuestos!$F$31,Supuestos!$F$32,Supuestos!$F$33,Supuestos!$F$34,Supuestos!$F$35,Supuestos!$F$36))-Supuestos!$F$9*(Supuestos!$F$7-Supuestos!$F$8)-Programa!$D$14*G$3*(1+Supuestos!$F$24)-Supuestos!$F$25*(1+Supuestos!$F$24))/(Programa!$D$14*$A9*(1-Supuestos!$F$15*Supuestos!$F$17/10))</f>
        <v/>
      </c>
    </row>
    <row r="10">
      <c r="A10" s="23" t="n">
        <v>60000</v>
      </c>
      <c r="B10" s="16">
        <f>((Programa!$D$14*$A10*(1-Supuestos!$F$15*Supuestos!$F$17/10))*(1-SUM(Supuestos!$F$29,Supuestos!$F$30,Supuestos!$F$31,Supuestos!$F$32,Supuestos!$F$33,Supuestos!$F$34,Supuestos!$F$35,Supuestos!$F$36))-Supuestos!$F$9*(Supuestos!$F$7-Supuestos!$F$8)-Programa!$D$14*B$3*(1+Supuestos!$F$24)-Supuestos!$F$25*(1+Supuestos!$F$24))/(Programa!$D$14*$A10*(1-Supuestos!$F$15*Supuestos!$F$17/10))</f>
        <v/>
      </c>
      <c r="C10" s="16">
        <f>((Programa!$D$14*$A10*(1-Supuestos!$F$15*Supuestos!$F$17/10))*(1-SUM(Supuestos!$F$29,Supuestos!$F$30,Supuestos!$F$31,Supuestos!$F$32,Supuestos!$F$33,Supuestos!$F$34,Supuestos!$F$35,Supuestos!$F$36))-Supuestos!$F$9*(Supuestos!$F$7-Supuestos!$F$8)-Programa!$D$14*C$3*(1+Supuestos!$F$24)-Supuestos!$F$25*(1+Supuestos!$F$24))/(Programa!$D$14*$A10*(1-Supuestos!$F$15*Supuestos!$F$17/10))</f>
        <v/>
      </c>
      <c r="D10" s="16">
        <f>((Programa!$D$14*$A10*(1-Supuestos!$F$15*Supuestos!$F$17/10))*(1-SUM(Supuestos!$F$29,Supuestos!$F$30,Supuestos!$F$31,Supuestos!$F$32,Supuestos!$F$33,Supuestos!$F$34,Supuestos!$F$35,Supuestos!$F$36))-Supuestos!$F$9*(Supuestos!$F$7-Supuestos!$F$8)-Programa!$D$14*D$3*(1+Supuestos!$F$24)-Supuestos!$F$25*(1+Supuestos!$F$24))/(Programa!$D$14*$A10*(1-Supuestos!$F$15*Supuestos!$F$17/10))</f>
        <v/>
      </c>
      <c r="E10" s="16">
        <f>((Programa!$D$14*$A10*(1-Supuestos!$F$15*Supuestos!$F$17/10))*(1-SUM(Supuestos!$F$29,Supuestos!$F$30,Supuestos!$F$31,Supuestos!$F$32,Supuestos!$F$33,Supuestos!$F$34,Supuestos!$F$35,Supuestos!$F$36))-Supuestos!$F$9*(Supuestos!$F$7-Supuestos!$F$8)-Programa!$D$14*E$3*(1+Supuestos!$F$24)-Supuestos!$F$25*(1+Supuestos!$F$24))/(Programa!$D$14*$A10*(1-Supuestos!$F$15*Supuestos!$F$17/10))</f>
        <v/>
      </c>
      <c r="F10" s="16">
        <f>((Programa!$D$14*$A10*(1-Supuestos!$F$15*Supuestos!$F$17/10))*(1-SUM(Supuestos!$F$29,Supuestos!$F$30,Supuestos!$F$31,Supuestos!$F$32,Supuestos!$F$33,Supuestos!$F$34,Supuestos!$F$35,Supuestos!$F$36))-Supuestos!$F$9*(Supuestos!$F$7-Supuestos!$F$8)-Programa!$D$14*F$3*(1+Supuestos!$F$24)-Supuestos!$F$25*(1+Supuestos!$F$24))/(Programa!$D$14*$A10*(1-Supuestos!$F$15*Supuestos!$F$17/10))</f>
        <v/>
      </c>
      <c r="G10" s="16">
        <f>((Programa!$D$14*$A10*(1-Supuestos!$F$15*Supuestos!$F$17/10))*(1-SUM(Supuestos!$F$29,Supuestos!$F$30,Supuestos!$F$31,Supuestos!$F$32,Supuestos!$F$33,Supuestos!$F$34,Supuestos!$F$35,Supuestos!$F$36))-Supuestos!$F$9*(Supuestos!$F$7-Supuestos!$F$8)-Programa!$D$14*G$3*(1+Supuestos!$F$24)-Supuestos!$F$25*(1+Supuestos!$F$24))/(Programa!$D$14*$A10*(1-Supuestos!$F$15*Supuestos!$F$17/10))</f>
        <v/>
      </c>
    </row>
    <row r="11">
      <c r="A11" s="23" t="n">
        <v>65000</v>
      </c>
      <c r="B11" s="16">
        <f>((Programa!$D$14*$A11*(1-Supuestos!$F$15*Supuestos!$F$17/10))*(1-SUM(Supuestos!$F$29,Supuestos!$F$30,Supuestos!$F$31,Supuestos!$F$32,Supuestos!$F$33,Supuestos!$F$34,Supuestos!$F$35,Supuestos!$F$36))-Supuestos!$F$9*(Supuestos!$F$7-Supuestos!$F$8)-Programa!$D$14*B$3*(1+Supuestos!$F$24)-Supuestos!$F$25*(1+Supuestos!$F$24))/(Programa!$D$14*$A11*(1-Supuestos!$F$15*Supuestos!$F$17/10))</f>
        <v/>
      </c>
      <c r="C11" s="16">
        <f>((Programa!$D$14*$A11*(1-Supuestos!$F$15*Supuestos!$F$17/10))*(1-SUM(Supuestos!$F$29,Supuestos!$F$30,Supuestos!$F$31,Supuestos!$F$32,Supuestos!$F$33,Supuestos!$F$34,Supuestos!$F$35,Supuestos!$F$36))-Supuestos!$F$9*(Supuestos!$F$7-Supuestos!$F$8)-Programa!$D$14*C$3*(1+Supuestos!$F$24)-Supuestos!$F$25*(1+Supuestos!$F$24))/(Programa!$D$14*$A11*(1-Supuestos!$F$15*Supuestos!$F$17/10))</f>
        <v/>
      </c>
      <c r="D11" s="16">
        <f>((Programa!$D$14*$A11*(1-Supuestos!$F$15*Supuestos!$F$17/10))*(1-SUM(Supuestos!$F$29,Supuestos!$F$30,Supuestos!$F$31,Supuestos!$F$32,Supuestos!$F$33,Supuestos!$F$34,Supuestos!$F$35,Supuestos!$F$36))-Supuestos!$F$9*(Supuestos!$F$7-Supuestos!$F$8)-Programa!$D$14*D$3*(1+Supuestos!$F$24)-Supuestos!$F$25*(1+Supuestos!$F$24))/(Programa!$D$14*$A11*(1-Supuestos!$F$15*Supuestos!$F$17/10))</f>
        <v/>
      </c>
      <c r="E11" s="16">
        <f>((Programa!$D$14*$A11*(1-Supuestos!$F$15*Supuestos!$F$17/10))*(1-SUM(Supuestos!$F$29,Supuestos!$F$30,Supuestos!$F$31,Supuestos!$F$32,Supuestos!$F$33,Supuestos!$F$34,Supuestos!$F$35,Supuestos!$F$36))-Supuestos!$F$9*(Supuestos!$F$7-Supuestos!$F$8)-Programa!$D$14*E$3*(1+Supuestos!$F$24)-Supuestos!$F$25*(1+Supuestos!$F$24))/(Programa!$D$14*$A11*(1-Supuestos!$F$15*Supuestos!$F$17/10))</f>
        <v/>
      </c>
      <c r="F11" s="16">
        <f>((Programa!$D$14*$A11*(1-Supuestos!$F$15*Supuestos!$F$17/10))*(1-SUM(Supuestos!$F$29,Supuestos!$F$30,Supuestos!$F$31,Supuestos!$F$32,Supuestos!$F$33,Supuestos!$F$34,Supuestos!$F$35,Supuestos!$F$36))-Supuestos!$F$9*(Supuestos!$F$7-Supuestos!$F$8)-Programa!$D$14*F$3*(1+Supuestos!$F$24)-Supuestos!$F$25*(1+Supuestos!$F$24))/(Programa!$D$14*$A11*(1-Supuestos!$F$15*Supuestos!$F$17/10))</f>
        <v/>
      </c>
      <c r="G11" s="16">
        <f>((Programa!$D$14*$A11*(1-Supuestos!$F$15*Supuestos!$F$17/10))*(1-SUM(Supuestos!$F$29,Supuestos!$F$30,Supuestos!$F$31,Supuestos!$F$32,Supuestos!$F$33,Supuestos!$F$34,Supuestos!$F$35,Supuestos!$F$36))-Supuestos!$F$9*(Supuestos!$F$7-Supuestos!$F$8)-Programa!$D$14*G$3*(1+Supuestos!$F$24)-Supuestos!$F$25*(1+Supuestos!$F$24))/(Programa!$D$14*$A11*(1-Supuestos!$F$15*Supuestos!$F$17/10))</f>
        <v/>
      </c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31" t="inlineStr">
        <is>
          <t>Verde = cumple 20.5% (libro Premium). Rosa = pérdida.</t>
        </is>
      </c>
      <c r="B13" s="6" t="n"/>
      <c r="C13" s="6" t="n"/>
      <c r="D13" s="6" t="n"/>
      <c r="E13" s="6" t="n"/>
      <c r="F13" s="6" t="n"/>
      <c r="G13" s="6" t="n"/>
    </row>
  </sheetData>
  <conditionalFormatting sqref="B4:G11">
    <cfRule type="cellIs" priority="1" operator="greaterThanOrEqual" dxfId="0">
      <formula>0.205</formula>
    </cfRule>
    <cfRule type="cellIs" priority="2" operator="lessThan" dxfId="1">
      <formula>0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0" customWidth="1" min="3" max="3"/>
    <col width="12" customWidth="1" min="4" max="4"/>
    <col width="18" customWidth="1" min="5" max="5"/>
    <col width="16" customWidth="1" min="6" max="6"/>
    <col width="40" customWidth="1" min="7" max="7"/>
  </cols>
  <sheetData>
    <row r="1">
      <c r="A1" s="5" t="inlineStr">
        <is>
          <t>Datos web — tabla que consume el sitio (precio de lista del caso activo; se publica con fecha de vigencia)</t>
        </is>
      </c>
      <c r="B1" s="6" t="n"/>
      <c r="C1" s="6" t="n"/>
      <c r="D1" s="6" t="n"/>
      <c r="E1" s="6" t="n"/>
      <c r="F1" s="6" t="n"/>
      <c r="G1" s="6" t="n"/>
    </row>
    <row r="2">
      <c r="A2" s="6" t="n"/>
      <c r="B2" s="6" t="n"/>
      <c r="C2" s="6" t="n"/>
      <c r="D2" s="6" t="n"/>
      <c r="E2" s="6" t="n"/>
      <c r="F2" s="6" t="n"/>
      <c r="G2" s="6" t="n"/>
    </row>
    <row r="3">
      <c r="A3" s="15" t="inlineStr">
        <is>
          <t>Villa</t>
        </is>
      </c>
      <c r="B3" s="15" t="inlineStr">
        <is>
          <t>Tipología</t>
        </is>
      </c>
      <c r="C3" s="15" t="inlineStr">
        <is>
          <t>Lote m²</t>
        </is>
      </c>
      <c r="D3" s="15" t="inlineStr">
        <is>
          <t>m² constr.</t>
        </is>
      </c>
      <c r="E3" s="15" t="inlineStr">
        <is>
          <t>Precio de lista MXN</t>
        </is>
      </c>
      <c r="F3" s="15" t="inlineStr">
        <is>
          <t>Estatus</t>
        </is>
      </c>
      <c r="G3" s="15" t="inlineStr">
        <is>
          <t>Nota legal</t>
        </is>
      </c>
    </row>
    <row r="4">
      <c r="A4" s="6">
        <f>Programa!A4</f>
        <v/>
      </c>
      <c r="B4" s="6">
        <f>Programa!B4</f>
        <v/>
      </c>
      <c r="C4" s="6">
        <f>Programa!C4</f>
        <v/>
      </c>
      <c r="D4" s="6">
        <f>Programa!D4</f>
        <v/>
      </c>
      <c r="E4" s="11">
        <f>ROUND(Programa!F4,-4)</f>
        <v/>
      </c>
      <c r="F4" s="32" t="inlineStr">
        <is>
          <t>Disponible</t>
        </is>
      </c>
      <c r="G4" s="6" t="inlineStr">
        <is>
          <t>Precio total visible (LFPC art. 7 BIS, NOM-247). No vender antes de autorización (CUEQ art. 260).</t>
        </is>
      </c>
    </row>
    <row r="5">
      <c r="A5" s="6">
        <f>Programa!A5</f>
        <v/>
      </c>
      <c r="B5" s="6">
        <f>Programa!B5</f>
        <v/>
      </c>
      <c r="C5" s="6">
        <f>Programa!C5</f>
        <v/>
      </c>
      <c r="D5" s="6">
        <f>Programa!D5</f>
        <v/>
      </c>
      <c r="E5" s="11">
        <f>ROUND(Programa!F5,-4)</f>
        <v/>
      </c>
      <c r="F5" s="32" t="inlineStr">
        <is>
          <t>Disponible</t>
        </is>
      </c>
      <c r="G5" s="6" t="n"/>
    </row>
    <row r="6">
      <c r="A6" s="6">
        <f>Programa!A6</f>
        <v/>
      </c>
      <c r="B6" s="6">
        <f>Programa!B6</f>
        <v/>
      </c>
      <c r="C6" s="6">
        <f>Programa!C6</f>
        <v/>
      </c>
      <c r="D6" s="6">
        <f>Programa!D6</f>
        <v/>
      </c>
      <c r="E6" s="11">
        <f>ROUND(Programa!F6,-4)</f>
        <v/>
      </c>
      <c r="F6" s="32" t="inlineStr">
        <is>
          <t>Disponible</t>
        </is>
      </c>
      <c r="G6" s="6" t="n"/>
    </row>
    <row r="7">
      <c r="A7" s="6">
        <f>Programa!A7</f>
        <v/>
      </c>
      <c r="B7" s="6">
        <f>Programa!B7</f>
        <v/>
      </c>
      <c r="C7" s="6">
        <f>Programa!C7</f>
        <v/>
      </c>
      <c r="D7" s="6">
        <f>Programa!D7</f>
        <v/>
      </c>
      <c r="E7" s="11">
        <f>ROUND(Programa!F7,-4)</f>
        <v/>
      </c>
      <c r="F7" s="32" t="inlineStr">
        <is>
          <t>Disponible</t>
        </is>
      </c>
      <c r="G7" s="6" t="n"/>
    </row>
    <row r="8">
      <c r="A8" s="6">
        <f>Programa!A8</f>
        <v/>
      </c>
      <c r="B8" s="6">
        <f>Programa!B8</f>
        <v/>
      </c>
      <c r="C8" s="6">
        <f>Programa!C8</f>
        <v/>
      </c>
      <c r="D8" s="6">
        <f>Programa!D8</f>
        <v/>
      </c>
      <c r="E8" s="11">
        <f>ROUND(Programa!F8,-4)</f>
        <v/>
      </c>
      <c r="F8" s="32" t="inlineStr">
        <is>
          <t>Disponible</t>
        </is>
      </c>
      <c r="G8" s="6" t="n"/>
    </row>
    <row r="9">
      <c r="A9" s="6">
        <f>Programa!A9</f>
        <v/>
      </c>
      <c r="B9" s="6">
        <f>Programa!B9</f>
        <v/>
      </c>
      <c r="C9" s="6">
        <f>Programa!C9</f>
        <v/>
      </c>
      <c r="D9" s="6">
        <f>Programa!D9</f>
        <v/>
      </c>
      <c r="E9" s="11">
        <f>ROUND(Programa!F9,-4)</f>
        <v/>
      </c>
      <c r="F9" s="32" t="inlineStr">
        <is>
          <t>Disponible</t>
        </is>
      </c>
      <c r="G9" s="6" t="n"/>
    </row>
    <row r="10">
      <c r="A10" s="6">
        <f>Programa!A10</f>
        <v/>
      </c>
      <c r="B10" s="6">
        <f>Programa!B10</f>
        <v/>
      </c>
      <c r="C10" s="6">
        <f>Programa!C10</f>
        <v/>
      </c>
      <c r="D10" s="6">
        <f>Programa!D10</f>
        <v/>
      </c>
      <c r="E10" s="11">
        <f>ROUND(Programa!F10,-4)</f>
        <v/>
      </c>
      <c r="F10" s="32" t="inlineStr">
        <is>
          <t>Disponible</t>
        </is>
      </c>
      <c r="G10" s="6" t="n"/>
    </row>
    <row r="11">
      <c r="A11" s="6">
        <f>Programa!A11</f>
        <v/>
      </c>
      <c r="B11" s="6">
        <f>Programa!B11</f>
        <v/>
      </c>
      <c r="C11" s="6">
        <f>Programa!C11</f>
        <v/>
      </c>
      <c r="D11" s="6">
        <f>Programa!D11</f>
        <v/>
      </c>
      <c r="E11" s="11">
        <f>ROUND(Programa!F11,-4)</f>
        <v/>
      </c>
      <c r="F11" s="32" t="inlineStr">
        <is>
          <t>Disponible</t>
        </is>
      </c>
      <c r="G11" s="6" t="n"/>
    </row>
    <row r="12">
      <c r="A12" s="6">
        <f>Programa!A12</f>
        <v/>
      </c>
      <c r="B12" s="6">
        <f>Programa!B12</f>
        <v/>
      </c>
      <c r="C12" s="6">
        <f>Programa!C12</f>
        <v/>
      </c>
      <c r="D12" s="6">
        <f>Programa!D12</f>
        <v/>
      </c>
      <c r="E12" s="11">
        <f>ROUND(Programa!F12,-4)</f>
        <v/>
      </c>
      <c r="F12" s="32" t="inlineStr">
        <is>
          <t>Disponible</t>
        </is>
      </c>
      <c r="G12" s="6" t="n"/>
    </row>
    <row r="13">
      <c r="A13" s="6">
        <f>Programa!A13</f>
        <v/>
      </c>
      <c r="B13" s="6">
        <f>Programa!B13</f>
        <v/>
      </c>
      <c r="C13" s="6">
        <f>Programa!C13</f>
        <v/>
      </c>
      <c r="D13" s="6">
        <f>Programa!D13</f>
        <v/>
      </c>
      <c r="E13" s="11">
        <f>ROUND(Programa!F13,-4)</f>
        <v/>
      </c>
      <c r="F13" s="32" t="inlineStr">
        <is>
          <t>Disponible</t>
        </is>
      </c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inlineStr">
        <is>
          <t>Vigencia de la lista:</t>
        </is>
      </c>
      <c r="B15" s="6" t="n"/>
      <c r="C15" s="33" t="inlineStr">
        <is>
          <t>por definir</t>
        </is>
      </c>
      <c r="D15" s="6" t="n"/>
      <c r="E15" s="6" t="n"/>
      <c r="F15" s="6" t="n"/>
      <c r="G15" s="6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5" t="inlineStr">
        <is>
          <t>Hoja de conceptos</t>
        </is>
      </c>
      <c r="B1" s="6" t="n"/>
    </row>
    <row r="2">
      <c r="A2" s="6" t="n"/>
      <c r="B2" s="6" t="n"/>
    </row>
    <row r="3">
      <c r="A3" s="8" t="inlineStr">
        <is>
          <t>TREMA</t>
        </is>
      </c>
      <c r="B3" s="4" t="inlineStr">
        <is>
          <t>Tasa de rendimiento mínima aceptable. En el curso: Inflación + CETES + Riesgo (suma simple).</t>
        </is>
      </c>
    </row>
    <row r="4">
      <c r="A4" s="8" t="inlineStr">
        <is>
          <t>TIR</t>
        </is>
      </c>
      <c r="B4" s="4" t="inlineStr">
        <is>
          <t>Tasa que hace VAN = 0 sobre el flujo neto anual (IRR del Balance).</t>
        </is>
      </c>
    </row>
    <row r="5">
      <c r="A5" s="8" t="inlineStr">
        <is>
          <t>VAN</t>
        </is>
      </c>
      <c r="B5" s="4" t="inlineStr">
        <is>
          <t>Flujo Año 0 + NPV(TREMA, flujos Año 1…n).</t>
        </is>
      </c>
    </row>
    <row r="6">
      <c r="A6" s="8" t="inlineStr">
        <is>
          <t>R</t>
        </is>
      </c>
      <c r="B6" s="4" t="inlineStr">
        <is>
          <t>Ingresos totales / Egresos totales. &gt; 1 el proyecto recupera lo invertido (sin descontar).</t>
        </is>
      </c>
    </row>
    <row r="7">
      <c r="A7" s="8" t="inlineStr">
        <is>
          <t>Punto de retorno</t>
        </is>
      </c>
      <c r="B7" s="4" t="inlineStr">
        <is>
          <t>Años hasta que el balance acumulado deja de ser negativo (interpolado).</t>
        </is>
      </c>
    </row>
    <row r="8">
      <c r="A8" s="8" t="inlineStr">
        <is>
          <t>Carga financiera</t>
        </is>
      </c>
      <c r="B8" s="4" t="inlineStr">
        <is>
          <t>Método del curso: (VP(1+TREMA)^n − VP)/n. Aquí es informativa para no contar dos veces el costo del dinero.</t>
        </is>
      </c>
    </row>
    <row r="9">
      <c r="A9" s="8" t="inlineStr">
        <is>
          <t>Vf = Vp(1+i)^n</t>
        </is>
      </c>
      <c r="B9" s="4" t="inlineStr">
        <is>
          <t>Escalamiento del precio de lista por plusvalía anual.</t>
        </is>
      </c>
    </row>
    <row r="10">
      <c r="A10" s="8" t="inlineStr">
        <is>
          <t>Depreciación</t>
        </is>
      </c>
      <c r="B10" s="4" t="inlineStr">
        <is>
          <t>Deducción fiscal del activo del borgo (LISR arts. 34–35). No es salida de efectivo; reduce ISR.</t>
        </is>
      </c>
    </row>
    <row r="11">
      <c r="A11" s="8" t="inlineStr">
        <is>
          <t>Factor de sobrecosto</t>
        </is>
      </c>
      <c r="B11" s="4" t="inlineStr">
        <is>
          <t>Indirectos + utilidad que cobraría una constructora externa. Al construir a costo, el grupo lo captura.</t>
        </is>
      </c>
    </row>
    <row r="12">
      <c r="A12" s="8" t="inlineStr">
        <is>
          <t>Permuta</t>
        </is>
      </c>
      <c r="B12" s="4" t="inlineStr">
        <is>
          <t>Fiscalmente son dos enajenaciones (terreno y lo entregado a cambio). Tratamiento: contador.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70" customWidth="1" min="1" max="1"/>
    <col width="30" customWidth="1" min="2" max="2"/>
  </cols>
  <sheetData>
    <row r="1">
      <c r="A1" s="5" t="inlineStr">
        <is>
          <t>Huecos declarados — qué falta y quién lo debe dar</t>
        </is>
      </c>
      <c r="B1" s="6" t="n"/>
    </row>
    <row r="2">
      <c r="A2" s="6" t="n"/>
      <c r="B2" s="6" t="n"/>
    </row>
    <row r="3">
      <c r="A3" s="15" t="inlineStr">
        <is>
          <t>Hueco</t>
        </is>
      </c>
      <c r="B3" s="15" t="inlineStr">
        <is>
          <t>Lo debe dar</t>
        </is>
      </c>
    </row>
    <row r="4">
      <c r="A4" s="6" t="inlineStr">
        <is>
          <t>Presupuesto de obra real $/m² con cantera, cal y madera</t>
        </is>
      </c>
      <c r="B4" s="6" t="inlineStr">
        <is>
          <t>PACSCO / CORDUPSA</t>
        </is>
      </c>
    </row>
    <row r="5">
      <c r="A5" s="6" t="inlineStr">
        <is>
          <t>Presupuesto de urbanización y amenidades de la zona de villas</t>
        </is>
      </c>
      <c r="B5" s="6" t="inlineStr">
        <is>
          <t>Arq. Emiliano + constructora</t>
        </is>
      </c>
    </row>
    <row r="6">
      <c r="A6" s="6" t="inlineStr">
        <is>
          <t>Contrato de intercambio: qué se entregó, cuándo, valor fiscal</t>
        </is>
      </c>
      <c r="B6" s="6" t="inlineStr">
        <is>
          <t>Ángel + notario</t>
        </is>
      </c>
    </row>
    <row r="7">
      <c r="A7" s="6" t="inlineStr">
        <is>
          <t>Tratamiento fiscal de la permuta, IVA no acreditable, tasa de depreciación de equipo de restaurante</t>
        </is>
      </c>
      <c r="B7" s="6" t="inlineStr">
        <is>
          <t>Contador (Alma)</t>
        </is>
      </c>
    </row>
    <row r="8">
      <c r="A8" s="6" t="inlineStr">
        <is>
          <t>Traslado de dominio Huimilpan 2026 y derechos de licencias</t>
        </is>
      </c>
      <c r="B8" s="6" t="inlineStr">
        <is>
          <t>Desarrollo Urbano Huimilpan</t>
        </is>
      </c>
    </row>
    <row r="9">
      <c r="A9" s="6" t="inlineStr">
        <is>
          <t>Precio de cierre (no de lista) en Viñedos del Polo, Campanario, Altozano</t>
        </is>
      </c>
      <c r="B9" s="6" t="inlineStr">
        <is>
          <t>Brokers (Esencia)</t>
        </is>
      </c>
    </row>
    <row r="10">
      <c r="A10" s="6" t="inlineStr">
        <is>
          <t>Operación del restaurante: comensales, ticket, margen — validar con pop-ups</t>
        </is>
      </c>
      <c r="B10" s="6" t="inlineStr">
        <is>
          <t>Operador / Casa Anfitriona</t>
        </is>
      </c>
    </row>
    <row r="11">
      <c r="A11" s="6" t="inlineStr">
        <is>
          <t>Crédito puente (si se usa): tasa, aforo, comisiones</t>
        </is>
      </c>
      <c r="B11" s="6" t="inlineStr">
        <is>
          <t>Banco</t>
        </is>
      </c>
    </row>
    <row r="12">
      <c r="A12" s="6" t="inlineStr">
        <is>
          <t>Calendario de autorización de venta (CUEQ art. 260)</t>
        </is>
      </c>
      <c r="B12" s="6" t="inlineStr">
        <is>
          <t>Abogado</t>
        </is>
      </c>
    </row>
    <row r="13">
      <c r="A13" s="6" t="inlineStr">
        <is>
          <t>Validación del acomodo y de m² construidos por villa</t>
        </is>
      </c>
      <c r="B13" s="6" t="inlineStr">
        <is>
          <t>Arq. Emiliano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2026-09-24T16:53:50Z</dcterms:created>
  <dcterms:modified xmlns:dcterms="http://purl.org/dc/terms/" xmlns:xsi="http://www.w3.org/2001/XMLSchema-instance" xsi:type="dcterms:W3CDTF">2026-09-24T16:53:50Z</dcterms:modified>
</cp:coreProperties>
</file>